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10" windowHeight="10410"/>
  </bookViews>
  <sheets>
    <sheet name="Question1_Parameters" sheetId="11" r:id="rId1"/>
    <sheet name="Q1 (i)" sheetId="12" r:id="rId2"/>
    <sheet name="Q1 (ii)" sheetId="13" r:id="rId3"/>
    <sheet name="Q1 (iii)" sheetId="14" r:id="rId4"/>
    <sheet name="Q1 (iv)" sheetId="15" r:id="rId5"/>
    <sheet name="Q1 (v)" sheetId="16" r:id="rId6"/>
    <sheet name="Q1_vi_a" sheetId="17" r:id="rId7"/>
    <sheet name="Q1_vi_b" sheetId="18" r:id="rId8"/>
    <sheet name="Q1_vi_c" sheetId="19" r:id="rId9"/>
    <sheet name="Ques_2_Data" sheetId="1" r:id="rId10"/>
    <sheet name="Q2(i)" sheetId="2" r:id="rId11"/>
    <sheet name="Q2(ii)" sheetId="3" r:id="rId12"/>
    <sheet name="Ques_3_Data" sheetId="5" r:id="rId13"/>
    <sheet name="Q3 (i)" sheetId="4" r:id="rId14"/>
    <sheet name="Q3 (ii)" sheetId="6" r:id="rId15"/>
    <sheet name="Q3 (iii)" sheetId="7" r:id="rId16"/>
    <sheet name="Q3 (iv)" sheetId="8" r:id="rId17"/>
    <sheet name="Q3 (v)" sheetId="9" r:id="rId1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3" l="1"/>
  <c r="I26" i="3"/>
  <c r="I25" i="3"/>
  <c r="I24" i="3"/>
  <c r="I23" i="3"/>
  <c r="I22" i="3"/>
  <c r="I21" i="3"/>
  <c r="I20" i="3"/>
  <c r="I19" i="3"/>
  <c r="I18" i="3"/>
  <c r="I17" i="3"/>
  <c r="I16" i="3"/>
  <c r="I15" i="3"/>
  <c r="I14" i="3"/>
  <c r="I13" i="3"/>
  <c r="N17" i="18" l="1"/>
  <c r="N16" i="18"/>
  <c r="N15" i="18"/>
  <c r="N14" i="18"/>
  <c r="N13" i="18"/>
  <c r="N12" i="18"/>
  <c r="N11" i="18"/>
  <c r="N10" i="18"/>
  <c r="N9" i="18"/>
  <c r="N8" i="18"/>
  <c r="N7" i="18"/>
  <c r="N6" i="18"/>
  <c r="N5" i="18"/>
  <c r="N4" i="18"/>
  <c r="K17" i="18"/>
  <c r="K16" i="18"/>
  <c r="K15" i="18"/>
  <c r="K14" i="18"/>
  <c r="K13" i="18"/>
  <c r="K12" i="18"/>
  <c r="K11" i="18"/>
  <c r="K10" i="18"/>
  <c r="K9" i="18"/>
  <c r="K8" i="18"/>
  <c r="K7" i="18"/>
  <c r="K6" i="18"/>
  <c r="K5" i="18"/>
  <c r="K4" i="18"/>
  <c r="K3" i="18"/>
  <c r="F4" i="18"/>
  <c r="F17" i="18"/>
  <c r="F16" i="18"/>
  <c r="F15" i="18"/>
  <c r="F14" i="18"/>
  <c r="F13" i="18"/>
  <c r="F12" i="18"/>
  <c r="F11" i="18"/>
  <c r="F10" i="18"/>
  <c r="F9" i="18"/>
  <c r="F8" i="18"/>
  <c r="F7" i="18"/>
  <c r="F6" i="18"/>
  <c r="F5" i="18"/>
  <c r="F3" i="18"/>
  <c r="F17" i="17"/>
  <c r="F16" i="17"/>
  <c r="F15" i="17"/>
  <c r="F14" i="17"/>
  <c r="F13" i="17"/>
  <c r="F12" i="17"/>
  <c r="F11" i="17"/>
  <c r="F10" i="17"/>
  <c r="F9" i="17"/>
  <c r="F8" i="17"/>
  <c r="F7" i="17"/>
  <c r="F6" i="17"/>
  <c r="F5" i="17"/>
  <c r="F4" i="17"/>
  <c r="F3" i="17"/>
  <c r="N17" i="17"/>
  <c r="N16" i="17"/>
  <c r="N15" i="17"/>
  <c r="N14" i="17"/>
  <c r="N13" i="17"/>
  <c r="N12" i="17"/>
  <c r="N11" i="17"/>
  <c r="N10" i="17"/>
  <c r="N9" i="17"/>
  <c r="N8" i="17"/>
  <c r="N7" i="17"/>
  <c r="N6" i="17"/>
  <c r="N5" i="17"/>
  <c r="N4" i="17"/>
  <c r="K17" i="17"/>
  <c r="K16" i="17"/>
  <c r="K15" i="17"/>
  <c r="K14" i="17"/>
  <c r="K13" i="17"/>
  <c r="K12" i="17"/>
  <c r="K11" i="17"/>
  <c r="K10" i="17"/>
  <c r="K9" i="17"/>
  <c r="K8" i="17"/>
  <c r="K7" i="17"/>
  <c r="K6" i="17"/>
  <c r="K5" i="17"/>
  <c r="K4" i="17"/>
  <c r="K3" i="17"/>
  <c r="B1" i="17" l="1"/>
  <c r="C17" i="18" l="1"/>
  <c r="C16" i="18"/>
  <c r="C15" i="18"/>
  <c r="C14" i="18"/>
  <c r="C13" i="18"/>
  <c r="C12" i="18"/>
  <c r="C11" i="18"/>
  <c r="C10" i="18"/>
  <c r="C9" i="18"/>
  <c r="C8" i="18"/>
  <c r="C7" i="18"/>
  <c r="C6" i="18"/>
  <c r="D5" i="18"/>
  <c r="C5" i="18"/>
  <c r="E4" i="18"/>
  <c r="D4" i="18"/>
  <c r="C4" i="18"/>
  <c r="A4" i="18"/>
  <c r="B4" i="18" s="1"/>
  <c r="G3" i="18"/>
  <c r="J3" i="18" s="1"/>
  <c r="D3" i="18"/>
  <c r="C3" i="18"/>
  <c r="B3" i="18"/>
  <c r="C17" i="17"/>
  <c r="C16" i="17"/>
  <c r="C15" i="17"/>
  <c r="C14" i="17"/>
  <c r="C13" i="17"/>
  <c r="C12" i="17"/>
  <c r="C11" i="17"/>
  <c r="C10" i="17"/>
  <c r="C9" i="17"/>
  <c r="C8" i="17"/>
  <c r="C7" i="17"/>
  <c r="C6" i="17"/>
  <c r="C5" i="17"/>
  <c r="G4" i="17"/>
  <c r="J4" i="17" s="1"/>
  <c r="D4" i="17"/>
  <c r="D5" i="17" s="1"/>
  <c r="D6" i="17" s="1"/>
  <c r="D7" i="17" s="1"/>
  <c r="D8" i="17" s="1"/>
  <c r="D9" i="17" s="1"/>
  <c r="D10" i="17" s="1"/>
  <c r="D11" i="17" s="1"/>
  <c r="D12" i="17" s="1"/>
  <c r="D13" i="17" s="1"/>
  <c r="D14" i="17" s="1"/>
  <c r="D15" i="17" s="1"/>
  <c r="D16" i="17" s="1"/>
  <c r="D17" i="17" s="1"/>
  <c r="C4" i="17"/>
  <c r="B4" i="17"/>
  <c r="A4" i="17"/>
  <c r="E3" i="17"/>
  <c r="D3" i="17"/>
  <c r="C3" i="17"/>
  <c r="B3" i="17"/>
  <c r="G3" i="17" s="1"/>
  <c r="C17" i="15"/>
  <c r="C16" i="15"/>
  <c r="C15" i="15"/>
  <c r="C14" i="15"/>
  <c r="C13" i="15"/>
  <c r="C12" i="15"/>
  <c r="C11" i="15"/>
  <c r="C10" i="15"/>
  <c r="C9" i="15"/>
  <c r="C8" i="15"/>
  <c r="C7" i="15"/>
  <c r="C6" i="15"/>
  <c r="D5" i="15"/>
  <c r="D6" i="15" s="1"/>
  <c r="C5" i="15"/>
  <c r="D4" i="15"/>
  <c r="C4" i="15"/>
  <c r="A4" i="15"/>
  <c r="E4" i="15" s="1"/>
  <c r="F4" i="15" s="1"/>
  <c r="H3" i="15"/>
  <c r="G3" i="15"/>
  <c r="K3" i="15" s="1"/>
  <c r="L3" i="15" s="1"/>
  <c r="D3" i="15"/>
  <c r="C3" i="15"/>
  <c r="B3" i="15"/>
  <c r="B4" i="15" s="1"/>
  <c r="B1" i="15"/>
  <c r="A3" i="13"/>
  <c r="A4" i="13" s="1"/>
  <c r="B2" i="13"/>
  <c r="C17" i="12"/>
  <c r="C16" i="12"/>
  <c r="C15" i="12"/>
  <c r="C14" i="12"/>
  <c r="C13" i="12"/>
  <c r="C12" i="12"/>
  <c r="C11" i="12"/>
  <c r="C10" i="12"/>
  <c r="C9" i="12"/>
  <c r="C8" i="12"/>
  <c r="C7" i="12"/>
  <c r="C6" i="12"/>
  <c r="P5" i="12"/>
  <c r="C5" i="12"/>
  <c r="P4" i="12"/>
  <c r="D4" i="12"/>
  <c r="D5" i="12" s="1"/>
  <c r="D6" i="12" s="1"/>
  <c r="D7" i="12" s="1"/>
  <c r="D8" i="12" s="1"/>
  <c r="D9" i="12" s="1"/>
  <c r="D10" i="12" s="1"/>
  <c r="D11" i="12" s="1"/>
  <c r="D12" i="12" s="1"/>
  <c r="D13" i="12" s="1"/>
  <c r="D14" i="12" s="1"/>
  <c r="D15" i="12" s="1"/>
  <c r="D16" i="12" s="1"/>
  <c r="D17" i="12" s="1"/>
  <c r="C4" i="12"/>
  <c r="A4" i="12"/>
  <c r="A5" i="12" s="1"/>
  <c r="P3" i="12"/>
  <c r="G3" i="12"/>
  <c r="D3" i="12"/>
  <c r="C3" i="12"/>
  <c r="B3" i="12"/>
  <c r="B4" i="12" s="1"/>
  <c r="B1" i="12"/>
  <c r="B10" i="11"/>
  <c r="B1" i="18" s="1"/>
  <c r="B9" i="11"/>
  <c r="I3" i="12" l="1"/>
  <c r="H4" i="12" s="1"/>
  <c r="J3" i="12"/>
  <c r="K3" i="12" s="1"/>
  <c r="B4" i="13"/>
  <c r="A5" i="13"/>
  <c r="M4" i="15"/>
  <c r="G4" i="15"/>
  <c r="K4" i="15" s="1"/>
  <c r="L4" i="15" s="1"/>
  <c r="B5" i="15"/>
  <c r="H4" i="15"/>
  <c r="G4" i="12"/>
  <c r="J4" i="12" s="1"/>
  <c r="K4" i="12" s="1"/>
  <c r="B5" i="12"/>
  <c r="P4" i="17"/>
  <c r="P3" i="17"/>
  <c r="E5" i="12"/>
  <c r="F5" i="12" s="1"/>
  <c r="A6" i="12"/>
  <c r="F4" i="12"/>
  <c r="L4" i="12" s="1"/>
  <c r="D7" i="15"/>
  <c r="D8" i="15" s="1"/>
  <c r="D9" i="15" s="1"/>
  <c r="Q3" i="15"/>
  <c r="B5" i="18"/>
  <c r="G4" i="18"/>
  <c r="J4" i="18" s="1"/>
  <c r="P4" i="18"/>
  <c r="P3" i="18"/>
  <c r="J3" i="15"/>
  <c r="I4" i="15" s="1"/>
  <c r="J4" i="15" s="1"/>
  <c r="Q4" i="15"/>
  <c r="A5" i="15"/>
  <c r="J3" i="17"/>
  <c r="I3" i="17"/>
  <c r="H4" i="17" s="1"/>
  <c r="I4" i="17" s="1"/>
  <c r="H5" i="17" s="1"/>
  <c r="M3" i="12"/>
  <c r="N3" i="12" s="1"/>
  <c r="E4" i="12"/>
  <c r="M3" i="17"/>
  <c r="N3" i="17" s="1"/>
  <c r="L4" i="17"/>
  <c r="E3" i="18"/>
  <c r="E3" i="12"/>
  <c r="F3" i="12" s="1"/>
  <c r="B3" i="13"/>
  <c r="L4" i="18"/>
  <c r="D6" i="18"/>
  <c r="E3" i="15"/>
  <c r="F3" i="15" s="1"/>
  <c r="A5" i="17"/>
  <c r="P5" i="17" s="1"/>
  <c r="I3" i="18"/>
  <c r="A5" i="18"/>
  <c r="P5" i="18" s="1"/>
  <c r="L3" i="17"/>
  <c r="O3" i="17" s="1"/>
  <c r="E4" i="17"/>
  <c r="B6" i="18" l="1"/>
  <c r="G5" i="18"/>
  <c r="J5" i="18" s="1"/>
  <c r="D10" i="15"/>
  <c r="G5" i="12"/>
  <c r="J5" i="12" s="1"/>
  <c r="K5" i="12" s="1"/>
  <c r="L5" i="12" s="1"/>
  <c r="B6" i="12"/>
  <c r="H4" i="18"/>
  <c r="I4" i="18" s="1"/>
  <c r="M3" i="18"/>
  <c r="N3" i="18" s="1"/>
  <c r="L3" i="12"/>
  <c r="O3" i="12" s="1"/>
  <c r="M4" i="17"/>
  <c r="N3" i="15"/>
  <c r="O3" i="15" s="1"/>
  <c r="A6" i="13"/>
  <c r="B5" i="13"/>
  <c r="L3" i="18"/>
  <c r="A6" i="18"/>
  <c r="E5" i="18"/>
  <c r="A6" i="15"/>
  <c r="B6" i="15" s="1"/>
  <c r="E5" i="15"/>
  <c r="Q5" i="15"/>
  <c r="E5" i="17"/>
  <c r="A6" i="17"/>
  <c r="M3" i="15"/>
  <c r="P3" i="15" s="1"/>
  <c r="B5" i="17"/>
  <c r="E6" i="12"/>
  <c r="A7" i="12"/>
  <c r="P6" i="12"/>
  <c r="I5" i="15"/>
  <c r="N4" i="15"/>
  <c r="O4" i="15" s="1"/>
  <c r="P4" i="15" s="1"/>
  <c r="I4" i="12"/>
  <c r="O4" i="17"/>
  <c r="H5" i="15"/>
  <c r="G5" i="15"/>
  <c r="K5" i="15" s="1"/>
  <c r="L5" i="15" s="1"/>
  <c r="D7" i="18"/>
  <c r="H6" i="15" l="1"/>
  <c r="G6" i="15"/>
  <c r="A7" i="13"/>
  <c r="B6" i="13"/>
  <c r="E6" i="17"/>
  <c r="A7" i="17"/>
  <c r="P6" i="17"/>
  <c r="D11" i="15"/>
  <c r="J5" i="15"/>
  <c r="L5" i="18"/>
  <c r="G6" i="18"/>
  <c r="J6" i="18" s="1"/>
  <c r="D8" i="18"/>
  <c r="B6" i="17"/>
  <c r="G5" i="17"/>
  <c r="A7" i="15"/>
  <c r="E6" i="15"/>
  <c r="Q6" i="15"/>
  <c r="A8" i="12"/>
  <c r="E7" i="12"/>
  <c r="P7" i="12"/>
  <c r="F6" i="12"/>
  <c r="F5" i="15"/>
  <c r="M5" i="15" s="1"/>
  <c r="O3" i="18"/>
  <c r="H5" i="18"/>
  <c r="M4" i="18"/>
  <c r="H5" i="12"/>
  <c r="M4" i="12"/>
  <c r="N4" i="12" s="1"/>
  <c r="O4" i="12" s="1"/>
  <c r="A7" i="18"/>
  <c r="E6" i="18"/>
  <c r="P6" i="18"/>
  <c r="O4" i="18"/>
  <c r="G6" i="12"/>
  <c r="J6" i="12" s="1"/>
  <c r="K6" i="12" s="1"/>
  <c r="L6" i="12" s="1"/>
  <c r="B7" i="12"/>
  <c r="L5" i="17" l="1"/>
  <c r="F6" i="15"/>
  <c r="M6" i="15" s="1"/>
  <c r="A8" i="13"/>
  <c r="B7" i="13"/>
  <c r="A8" i="18"/>
  <c r="E7" i="18"/>
  <c r="P7" i="18"/>
  <c r="B7" i="18"/>
  <c r="L6" i="18"/>
  <c r="G7" i="12"/>
  <c r="J7" i="12" s="1"/>
  <c r="K7" i="12" s="1"/>
  <c r="B8" i="12"/>
  <c r="A8" i="15"/>
  <c r="E7" i="15"/>
  <c r="Q7" i="15"/>
  <c r="D12" i="15"/>
  <c r="K6" i="15"/>
  <c r="L6" i="15" s="1"/>
  <c r="I6" i="15"/>
  <c r="N5" i="15"/>
  <c r="O5" i="15" s="1"/>
  <c r="P5" i="15" s="1"/>
  <c r="I5" i="12"/>
  <c r="J5" i="17"/>
  <c r="I5" i="17"/>
  <c r="F7" i="12"/>
  <c r="L7" i="12" s="1"/>
  <c r="B7" i="17"/>
  <c r="G6" i="17"/>
  <c r="J6" i="17" s="1"/>
  <c r="E7" i="17"/>
  <c r="A8" i="17"/>
  <c r="P7" i="17"/>
  <c r="B7" i="15"/>
  <c r="I5" i="18"/>
  <c r="L6" i="17"/>
  <c r="A9" i="12"/>
  <c r="E8" i="12"/>
  <c r="P8" i="12"/>
  <c r="D9" i="18"/>
  <c r="A10" i="12" l="1"/>
  <c r="E9" i="12"/>
  <c r="P9" i="12"/>
  <c r="E8" i="17"/>
  <c r="A9" i="17"/>
  <c r="P8" i="17"/>
  <c r="H6" i="17"/>
  <c r="M5" i="17"/>
  <c r="A9" i="13"/>
  <c r="B8" i="13"/>
  <c r="D13" i="15"/>
  <c r="B8" i="18"/>
  <c r="G7" i="18"/>
  <c r="J7" i="18" s="1"/>
  <c r="D10" i="18"/>
  <c r="H6" i="12"/>
  <c r="M5" i="12"/>
  <c r="N5" i="12" s="1"/>
  <c r="O5" i="12" s="1"/>
  <c r="F7" i="15"/>
  <c r="O5" i="17"/>
  <c r="B8" i="17"/>
  <c r="G7" i="17"/>
  <c r="J7" i="17" s="1"/>
  <c r="L7" i="17" s="1"/>
  <c r="L7" i="18"/>
  <c r="F8" i="12"/>
  <c r="L8" i="12" s="1"/>
  <c r="H6" i="18"/>
  <c r="M5" i="18"/>
  <c r="O5" i="18" s="1"/>
  <c r="J6" i="15"/>
  <c r="E8" i="15"/>
  <c r="A9" i="15"/>
  <c r="Q8" i="15"/>
  <c r="H7" i="15"/>
  <c r="B8" i="15"/>
  <c r="G7" i="15"/>
  <c r="G8" i="12"/>
  <c r="J8" i="12" s="1"/>
  <c r="K8" i="12" s="1"/>
  <c r="B9" i="12"/>
  <c r="A9" i="18"/>
  <c r="E8" i="18"/>
  <c r="P8" i="18"/>
  <c r="I6" i="18" l="1"/>
  <c r="L9" i="12"/>
  <c r="F9" i="12"/>
  <c r="H8" i="15"/>
  <c r="G8" i="15"/>
  <c r="K8" i="15" s="1"/>
  <c r="L8" i="15" s="1"/>
  <c r="B9" i="15"/>
  <c r="A10" i="13"/>
  <c r="B9" i="13"/>
  <c r="B9" i="18"/>
  <c r="G8" i="18"/>
  <c r="J8" i="18" s="1"/>
  <c r="L8" i="18"/>
  <c r="I6" i="17"/>
  <c r="A11" i="12"/>
  <c r="E10" i="12"/>
  <c r="P10" i="12"/>
  <c r="A10" i="18"/>
  <c r="E9" i="18"/>
  <c r="P9" i="18"/>
  <c r="E9" i="15"/>
  <c r="A10" i="15"/>
  <c r="Q9" i="15"/>
  <c r="I6" i="12"/>
  <c r="D14" i="15"/>
  <c r="G9" i="12"/>
  <c r="J9" i="12" s="1"/>
  <c r="K9" i="12" s="1"/>
  <c r="B10" i="12"/>
  <c r="F8" i="15"/>
  <c r="M8" i="15"/>
  <c r="E9" i="17"/>
  <c r="A10" i="17"/>
  <c r="P9" i="17"/>
  <c r="D11" i="18"/>
  <c r="L8" i="17"/>
  <c r="K7" i="15"/>
  <c r="L7" i="15" s="1"/>
  <c r="I7" i="15"/>
  <c r="N6" i="15"/>
  <c r="O6" i="15" s="1"/>
  <c r="P6" i="15" s="1"/>
  <c r="B9" i="17"/>
  <c r="G8" i="17"/>
  <c r="J8" i="17" s="1"/>
  <c r="H7" i="17" l="1"/>
  <c r="M6" i="17"/>
  <c r="O6" i="17" s="1"/>
  <c r="A11" i="13"/>
  <c r="B10" i="13"/>
  <c r="H7" i="18"/>
  <c r="M6" i="18"/>
  <c r="O6" i="18" s="1"/>
  <c r="H7" i="12"/>
  <c r="M6" i="12"/>
  <c r="N6" i="12" s="1"/>
  <c r="O6" i="12" s="1"/>
  <c r="A11" i="18"/>
  <c r="E10" i="18"/>
  <c r="P10" i="18"/>
  <c r="H9" i="15"/>
  <c r="G9" i="15"/>
  <c r="B10" i="15"/>
  <c r="M7" i="15"/>
  <c r="E10" i="17"/>
  <c r="A11" i="17"/>
  <c r="P10" i="17"/>
  <c r="E11" i="12"/>
  <c r="A12" i="12"/>
  <c r="P11" i="12"/>
  <c r="G10" i="12"/>
  <c r="J10" i="12" s="1"/>
  <c r="K10" i="12" s="1"/>
  <c r="L10" i="12" s="1"/>
  <c r="B11" i="12"/>
  <c r="J7" i="15"/>
  <c r="B10" i="18"/>
  <c r="G9" i="18"/>
  <c r="J9" i="18" s="1"/>
  <c r="L9" i="17"/>
  <c r="L9" i="18"/>
  <c r="B10" i="17"/>
  <c r="G9" i="17"/>
  <c r="J9" i="17" s="1"/>
  <c r="D12" i="18"/>
  <c r="E10" i="15"/>
  <c r="A11" i="15"/>
  <c r="Q10" i="15"/>
  <c r="F10" i="12"/>
  <c r="D15" i="15"/>
  <c r="F9" i="15"/>
  <c r="F10" i="15" l="1"/>
  <c r="A12" i="18"/>
  <c r="E11" i="18"/>
  <c r="P11" i="18"/>
  <c r="D13" i="18"/>
  <c r="B11" i="18"/>
  <c r="G10" i="18"/>
  <c r="J10" i="18" s="1"/>
  <c r="I7" i="18"/>
  <c r="B11" i="17"/>
  <c r="G10" i="17"/>
  <c r="J10" i="17" s="1"/>
  <c r="I8" i="15"/>
  <c r="N7" i="15"/>
  <c r="O7" i="15" s="1"/>
  <c r="E11" i="17"/>
  <c r="A12" i="17"/>
  <c r="P11" i="17"/>
  <c r="L10" i="18"/>
  <c r="E11" i="15"/>
  <c r="A12" i="15"/>
  <c r="Q11" i="15"/>
  <c r="G11" i="12"/>
  <c r="J11" i="12" s="1"/>
  <c r="K11" i="12" s="1"/>
  <c r="B12" i="12"/>
  <c r="L10" i="17"/>
  <c r="A12" i="13"/>
  <c r="B11" i="13"/>
  <c r="D16" i="15"/>
  <c r="A13" i="12"/>
  <c r="E12" i="12"/>
  <c r="P12" i="12"/>
  <c r="G10" i="15"/>
  <c r="B11" i="15"/>
  <c r="H10" i="15"/>
  <c r="I7" i="12"/>
  <c r="P7" i="15"/>
  <c r="I7" i="17"/>
  <c r="F11" i="12"/>
  <c r="L11" i="12" s="1"/>
  <c r="K9" i="15"/>
  <c r="L9" i="15" s="1"/>
  <c r="E12" i="17" l="1"/>
  <c r="A13" i="17"/>
  <c r="P12" i="17"/>
  <c r="E12" i="15"/>
  <c r="A13" i="15"/>
  <c r="Q12" i="15"/>
  <c r="A13" i="18"/>
  <c r="E12" i="18"/>
  <c r="P12" i="18"/>
  <c r="H11" i="15"/>
  <c r="G11" i="15"/>
  <c r="K11" i="15" s="1"/>
  <c r="L11" i="15" s="1"/>
  <c r="B12" i="15"/>
  <c r="F11" i="15"/>
  <c r="M11" i="15" s="1"/>
  <c r="A13" i="13"/>
  <c r="B12" i="13"/>
  <c r="B12" i="18"/>
  <c r="G11" i="18"/>
  <c r="J11" i="18" s="1"/>
  <c r="D17" i="15"/>
  <c r="H8" i="18"/>
  <c r="M7" i="18"/>
  <c r="O7" i="18" s="1"/>
  <c r="J8" i="15"/>
  <c r="D14" i="18"/>
  <c r="L11" i="18"/>
  <c r="K10" i="15"/>
  <c r="F12" i="12"/>
  <c r="H8" i="12"/>
  <c r="M7" i="12"/>
  <c r="N7" i="12" s="1"/>
  <c r="O7" i="12" s="1"/>
  <c r="L11" i="17"/>
  <c r="H8" i="17"/>
  <c r="M7" i="17"/>
  <c r="O7" i="17" s="1"/>
  <c r="E13" i="12"/>
  <c r="A14" i="12"/>
  <c r="P13" i="12"/>
  <c r="G12" i="12"/>
  <c r="J12" i="12" s="1"/>
  <c r="K12" i="12" s="1"/>
  <c r="L12" i="12" s="1"/>
  <c r="B13" i="12"/>
  <c r="B12" i="17"/>
  <c r="G11" i="17"/>
  <c r="J11" i="17" s="1"/>
  <c r="M9" i="15"/>
  <c r="G13" i="12" l="1"/>
  <c r="J13" i="12" s="1"/>
  <c r="K13" i="12" s="1"/>
  <c r="B14" i="12"/>
  <c r="A14" i="15"/>
  <c r="E13" i="15"/>
  <c r="Q13" i="15"/>
  <c r="A15" i="12"/>
  <c r="E14" i="12"/>
  <c r="P14" i="12"/>
  <c r="D15" i="18"/>
  <c r="F12" i="15"/>
  <c r="B13" i="18"/>
  <c r="G12" i="18"/>
  <c r="J12" i="18" s="1"/>
  <c r="I8" i="18"/>
  <c r="B13" i="15"/>
  <c r="H12" i="15"/>
  <c r="G12" i="15"/>
  <c r="K12" i="15" s="1"/>
  <c r="L12" i="15" s="1"/>
  <c r="F13" i="12"/>
  <c r="L13" i="12" s="1"/>
  <c r="I9" i="15"/>
  <c r="J9" i="15" s="1"/>
  <c r="N8" i="15"/>
  <c r="O8" i="15" s="1"/>
  <c r="P8" i="15" s="1"/>
  <c r="L12" i="18"/>
  <c r="E13" i="17"/>
  <c r="A14" i="17"/>
  <c r="P13" i="17"/>
  <c r="A14" i="18"/>
  <c r="E13" i="18"/>
  <c r="P13" i="18"/>
  <c r="I8" i="12"/>
  <c r="B13" i="17"/>
  <c r="G12" i="17"/>
  <c r="J12" i="17" s="1"/>
  <c r="I8" i="17"/>
  <c r="L10" i="15"/>
  <c r="M10" i="15"/>
  <c r="A14" i="13"/>
  <c r="B13" i="13"/>
  <c r="L12" i="17"/>
  <c r="H9" i="17" l="1"/>
  <c r="M8" i="17"/>
  <c r="O8" i="17" s="1"/>
  <c r="F13" i="15"/>
  <c r="I10" i="15"/>
  <c r="J10" i="15" s="1"/>
  <c r="N9" i="15"/>
  <c r="O9" i="15" s="1"/>
  <c r="P9" i="15" s="1"/>
  <c r="B14" i="17"/>
  <c r="G13" i="17"/>
  <c r="J13" i="17" s="1"/>
  <c r="B14" i="18"/>
  <c r="G13" i="18"/>
  <c r="J13" i="18" s="1"/>
  <c r="A15" i="15"/>
  <c r="E14" i="15"/>
  <c r="Q14" i="15"/>
  <c r="H9" i="18"/>
  <c r="M8" i="18"/>
  <c r="O8" i="18" s="1"/>
  <c r="D16" i="18"/>
  <c r="A15" i="13"/>
  <c r="B14" i="13"/>
  <c r="E14" i="17"/>
  <c r="A15" i="17"/>
  <c r="P14" i="17"/>
  <c r="G14" i="12"/>
  <c r="J14" i="12" s="1"/>
  <c r="K14" i="12" s="1"/>
  <c r="B15" i="12"/>
  <c r="L13" i="17"/>
  <c r="F14" i="12"/>
  <c r="L14" i="12" s="1"/>
  <c r="H9" i="12"/>
  <c r="M8" i="12"/>
  <c r="N8" i="12" s="1"/>
  <c r="O8" i="12" s="1"/>
  <c r="M12" i="15"/>
  <c r="L13" i="18"/>
  <c r="B14" i="15"/>
  <c r="H13" i="15"/>
  <c r="G13" i="15"/>
  <c r="K13" i="15" s="1"/>
  <c r="L13" i="15" s="1"/>
  <c r="E15" i="12"/>
  <c r="P15" i="12"/>
  <c r="A16" i="12"/>
  <c r="A15" i="18"/>
  <c r="E14" i="18"/>
  <c r="P14" i="18"/>
  <c r="G15" i="12" l="1"/>
  <c r="J15" i="12" s="1"/>
  <c r="K15" i="12" s="1"/>
  <c r="L15" i="12" s="1"/>
  <c r="B16" i="12"/>
  <c r="A16" i="13"/>
  <c r="B15" i="13"/>
  <c r="I11" i="15"/>
  <c r="N10" i="15"/>
  <c r="O10" i="15" s="1"/>
  <c r="P10" i="15" s="1"/>
  <c r="F15" i="12"/>
  <c r="M13" i="15"/>
  <c r="F14" i="15"/>
  <c r="I9" i="12"/>
  <c r="D17" i="18"/>
  <c r="A16" i="15"/>
  <c r="E15" i="15"/>
  <c r="Q15" i="15"/>
  <c r="B15" i="18"/>
  <c r="G14" i="18"/>
  <c r="J14" i="18" s="1"/>
  <c r="I9" i="17"/>
  <c r="L14" i="18"/>
  <c r="L14" i="17"/>
  <c r="I9" i="18"/>
  <c r="A17" i="12"/>
  <c r="E16" i="12"/>
  <c r="P16" i="12"/>
  <c r="E15" i="17"/>
  <c r="A16" i="17"/>
  <c r="P15" i="17"/>
  <c r="B15" i="15"/>
  <c r="H14" i="15"/>
  <c r="G14" i="15"/>
  <c r="A16" i="18"/>
  <c r="E15" i="18"/>
  <c r="P15" i="18"/>
  <c r="B15" i="17"/>
  <c r="G14" i="17"/>
  <c r="J14" i="17" s="1"/>
  <c r="M14" i="15" l="1"/>
  <c r="A17" i="18"/>
  <c r="E16" i="18"/>
  <c r="P16" i="18"/>
  <c r="K14" i="15"/>
  <c r="L14" i="15" s="1"/>
  <c r="F16" i="12"/>
  <c r="L16" i="12"/>
  <c r="F15" i="15"/>
  <c r="A17" i="13"/>
  <c r="B17" i="13" s="1"/>
  <c r="B16" i="13"/>
  <c r="J11" i="15"/>
  <c r="G16" i="12"/>
  <c r="J16" i="12" s="1"/>
  <c r="K16" i="12" s="1"/>
  <c r="B17" i="12"/>
  <c r="G17" i="12" s="1"/>
  <c r="J17" i="12" s="1"/>
  <c r="K17" i="12" s="1"/>
  <c r="H10" i="12"/>
  <c r="M9" i="12"/>
  <c r="N9" i="12" s="1"/>
  <c r="O9" i="12" s="1"/>
  <c r="E17" i="12"/>
  <c r="P17" i="12"/>
  <c r="B16" i="17"/>
  <c r="G15" i="17"/>
  <c r="J15" i="17" s="1"/>
  <c r="H15" i="15"/>
  <c r="G15" i="15"/>
  <c r="B16" i="15"/>
  <c r="E16" i="15"/>
  <c r="A17" i="15"/>
  <c r="Q16" i="15"/>
  <c r="H10" i="17"/>
  <c r="M9" i="17"/>
  <c r="O9" i="17" s="1"/>
  <c r="E16" i="17"/>
  <c r="A17" i="17"/>
  <c r="P16" i="17"/>
  <c r="H10" i="18"/>
  <c r="M9" i="18"/>
  <c r="O9" i="18" s="1"/>
  <c r="L15" i="17"/>
  <c r="B16" i="18"/>
  <c r="G15" i="18"/>
  <c r="J15" i="18" s="1"/>
  <c r="L15" i="18" s="1"/>
  <c r="I10" i="17" l="1"/>
  <c r="I10" i="18"/>
  <c r="E17" i="17"/>
  <c r="P17" i="17"/>
  <c r="L17" i="12"/>
  <c r="F17" i="12"/>
  <c r="L16" i="17"/>
  <c r="B17" i="18"/>
  <c r="G17" i="18" s="1"/>
  <c r="J17" i="18" s="1"/>
  <c r="G16" i="18"/>
  <c r="J16" i="18" s="1"/>
  <c r="L16" i="18" s="1"/>
  <c r="B17" i="17"/>
  <c r="G17" i="17" s="1"/>
  <c r="J17" i="17" s="1"/>
  <c r="G16" i="17"/>
  <c r="J16" i="17" s="1"/>
  <c r="E17" i="15"/>
  <c r="Q17" i="15"/>
  <c r="I12" i="15"/>
  <c r="N11" i="15"/>
  <c r="O11" i="15" s="1"/>
  <c r="P11" i="15" s="1"/>
  <c r="F16" i="15"/>
  <c r="M16" i="15" s="1"/>
  <c r="H16" i="15"/>
  <c r="G16" i="15"/>
  <c r="K16" i="15" s="1"/>
  <c r="L16" i="15" s="1"/>
  <c r="B17" i="15"/>
  <c r="E17" i="18"/>
  <c r="P17" i="18"/>
  <c r="K15" i="15"/>
  <c r="L15" i="15" s="1"/>
  <c r="I10" i="12"/>
  <c r="E18" i="9"/>
  <c r="E17" i="9"/>
  <c r="E16" i="9"/>
  <c r="E15" i="9"/>
  <c r="E14" i="9"/>
  <c r="E13" i="9"/>
  <c r="E12" i="9"/>
  <c r="E11" i="9"/>
  <c r="E10" i="9"/>
  <c r="E9" i="9"/>
  <c r="E8" i="9"/>
  <c r="B8" i="8"/>
  <c r="G9" i="4"/>
  <c r="G10" i="4" s="1"/>
  <c r="G11" i="4" s="1"/>
  <c r="G12" i="4" s="1"/>
  <c r="G13" i="4" s="1"/>
  <c r="G14" i="4" s="1"/>
  <c r="G15" i="4" s="1"/>
  <c r="G16" i="4" s="1"/>
  <c r="G17" i="4" s="1"/>
  <c r="G18" i="4" s="1"/>
  <c r="G8" i="4"/>
  <c r="F19" i="4"/>
  <c r="F18" i="4"/>
  <c r="F17" i="4"/>
  <c r="F16" i="4"/>
  <c r="F15" i="4"/>
  <c r="F14" i="4"/>
  <c r="F13" i="4"/>
  <c r="F12" i="4"/>
  <c r="F11" i="4"/>
  <c r="F10" i="4"/>
  <c r="F9" i="4"/>
  <c r="F8" i="4"/>
  <c r="F17" i="15" l="1"/>
  <c r="H11" i="18"/>
  <c r="M10" i="18"/>
  <c r="O10" i="18" s="1"/>
  <c r="H11" i="12"/>
  <c r="M10" i="12"/>
  <c r="N10" i="12" s="1"/>
  <c r="O10" i="12" s="1"/>
  <c r="H11" i="17"/>
  <c r="M10" i="17"/>
  <c r="O10" i="17" s="1"/>
  <c r="H17" i="15"/>
  <c r="G17" i="15"/>
  <c r="K17" i="15" s="1"/>
  <c r="L17" i="15" s="1"/>
  <c r="L17" i="18"/>
  <c r="J12" i="15"/>
  <c r="L17" i="17"/>
  <c r="M15" i="15"/>
  <c r="K18" i="9"/>
  <c r="K17" i="9"/>
  <c r="K16" i="9"/>
  <c r="K15" i="9"/>
  <c r="K14" i="9"/>
  <c r="K13" i="9"/>
  <c r="K12" i="9"/>
  <c r="K11" i="9"/>
  <c r="K10" i="9"/>
  <c r="K9" i="9"/>
  <c r="K8" i="9"/>
  <c r="L8" i="9" s="1"/>
  <c r="I11" i="12" l="1"/>
  <c r="I11" i="18"/>
  <c r="M17" i="15"/>
  <c r="I13" i="15"/>
  <c r="N12" i="15"/>
  <c r="O12" i="15" s="1"/>
  <c r="P12" i="15" s="1"/>
  <c r="I11" i="17"/>
  <c r="L9" i="9"/>
  <c r="L10" i="9" s="1"/>
  <c r="L11" i="9" s="1"/>
  <c r="L12" i="9" s="1"/>
  <c r="L13" i="9" s="1"/>
  <c r="L14" i="9" s="1"/>
  <c r="L15" i="9" s="1"/>
  <c r="L16" i="9" s="1"/>
  <c r="L17" i="9" s="1"/>
  <c r="L18" i="9" s="1"/>
  <c r="G18" i="9"/>
  <c r="G17" i="9"/>
  <c r="G16" i="9"/>
  <c r="G15" i="9"/>
  <c r="G14" i="9"/>
  <c r="G13" i="9"/>
  <c r="G12" i="9"/>
  <c r="G11" i="9"/>
  <c r="G10" i="9"/>
  <c r="G9" i="9"/>
  <c r="G8" i="9"/>
  <c r="B8" i="9"/>
  <c r="B9" i="9" s="1"/>
  <c r="B10" i="9" s="1"/>
  <c r="B11" i="9" s="1"/>
  <c r="B12" i="9" s="1"/>
  <c r="B13" i="9" s="1"/>
  <c r="B14" i="9" s="1"/>
  <c r="B15" i="9" s="1"/>
  <c r="B16" i="9" s="1"/>
  <c r="B17" i="9" s="1"/>
  <c r="B18" i="9" s="1"/>
  <c r="A8" i="9"/>
  <c r="A9" i="9" s="1"/>
  <c r="A10" i="9" s="1"/>
  <c r="A11" i="9" s="1"/>
  <c r="A12" i="9" s="1"/>
  <c r="A13" i="9" s="1"/>
  <c r="A14" i="9" s="1"/>
  <c r="A15" i="9" s="1"/>
  <c r="A16" i="9" s="1"/>
  <c r="A17" i="9" s="1"/>
  <c r="A18" i="9" s="1"/>
  <c r="C9" i="9"/>
  <c r="C10" i="9" s="1"/>
  <c r="C11" i="9" s="1"/>
  <c r="C12" i="9" s="1"/>
  <c r="C13" i="9" s="1"/>
  <c r="C14" i="9" s="1"/>
  <c r="C15" i="9" s="1"/>
  <c r="C16" i="9" s="1"/>
  <c r="C17" i="9" s="1"/>
  <c r="C18" i="9" s="1"/>
  <c r="F8" i="9"/>
  <c r="H8" i="9" s="1"/>
  <c r="I8" i="9" s="1"/>
  <c r="F9" i="9" s="1"/>
  <c r="H9" i="9" s="1"/>
  <c r="A4" i="8"/>
  <c r="B4" i="8"/>
  <c r="A5" i="8"/>
  <c r="B5" i="8"/>
  <c r="A6" i="8"/>
  <c r="B6" i="8"/>
  <c r="B7" i="8"/>
  <c r="B9" i="8"/>
  <c r="B10" i="8"/>
  <c r="B11" i="8"/>
  <c r="B12" i="8"/>
  <c r="B13" i="8"/>
  <c r="B14" i="8"/>
  <c r="B15" i="8"/>
  <c r="B16" i="8"/>
  <c r="B17" i="8"/>
  <c r="B18" i="8"/>
  <c r="B19" i="8"/>
  <c r="B20" i="8"/>
  <c r="B21" i="8"/>
  <c r="B22" i="8"/>
  <c r="B23" i="8"/>
  <c r="B24" i="8"/>
  <c r="B25" i="8"/>
  <c r="B26" i="8"/>
  <c r="D3" i="7"/>
  <c r="D4" i="7" s="1"/>
  <c r="E18" i="6"/>
  <c r="E17" i="6"/>
  <c r="E16" i="6"/>
  <c r="E15" i="6"/>
  <c r="E14" i="6"/>
  <c r="E13" i="6"/>
  <c r="E12" i="6"/>
  <c r="E11" i="6"/>
  <c r="E10" i="6"/>
  <c r="E9" i="6"/>
  <c r="E8" i="6"/>
  <c r="F8" i="6" s="1"/>
  <c r="C9" i="6"/>
  <c r="C10" i="6" s="1"/>
  <c r="C11" i="6" s="1"/>
  <c r="C12" i="6" s="1"/>
  <c r="C13" i="6" s="1"/>
  <c r="C14" i="6" s="1"/>
  <c r="C15" i="6" s="1"/>
  <c r="C16" i="6" s="1"/>
  <c r="C17" i="6" s="1"/>
  <c r="C18" i="6" s="1"/>
  <c r="C19" i="6" s="1"/>
  <c r="E9" i="4"/>
  <c r="E10" i="4"/>
  <c r="E11" i="4"/>
  <c r="E12" i="4"/>
  <c r="E13" i="4"/>
  <c r="E14" i="4"/>
  <c r="E15" i="4"/>
  <c r="E16" i="4"/>
  <c r="E17" i="4"/>
  <c r="E18" i="4"/>
  <c r="E19" i="4"/>
  <c r="E8" i="4"/>
  <c r="C9" i="4"/>
  <c r="C10" i="4" s="1"/>
  <c r="C11" i="4" s="1"/>
  <c r="C12" i="4" s="1"/>
  <c r="C13" i="4" s="1"/>
  <c r="C14" i="4" s="1"/>
  <c r="C15" i="4" s="1"/>
  <c r="C16" i="4" s="1"/>
  <c r="C17" i="4" s="1"/>
  <c r="C18" i="4" s="1"/>
  <c r="C19" i="4" s="1"/>
  <c r="A6" i="5"/>
  <c r="A7" i="8" s="1"/>
  <c r="AB12" i="3"/>
  <c r="P17" i="3"/>
  <c r="P16" i="3"/>
  <c r="P15" i="3"/>
  <c r="P14" i="3"/>
  <c r="P13" i="3"/>
  <c r="O17" i="3"/>
  <c r="O16" i="3"/>
  <c r="O15" i="3"/>
  <c r="O14" i="3"/>
  <c r="O13" i="3"/>
  <c r="F20" i="3"/>
  <c r="F19" i="3"/>
  <c r="F18" i="3"/>
  <c r="G21" i="3"/>
  <c r="C14" i="3"/>
  <c r="H14" i="3" s="1"/>
  <c r="B14" i="3"/>
  <c r="B15" i="3" s="1"/>
  <c r="H13" i="3"/>
  <c r="D13" i="3"/>
  <c r="C4" i="3"/>
  <c r="C3" i="3"/>
  <c r="G25" i="3" s="1"/>
  <c r="J16" i="2"/>
  <c r="J13" i="2"/>
  <c r="K13" i="2" s="1"/>
  <c r="N14" i="2" s="1"/>
  <c r="G13" i="2"/>
  <c r="F25" i="2"/>
  <c r="F24" i="2"/>
  <c r="F17" i="2"/>
  <c r="F16" i="2"/>
  <c r="C4" i="2"/>
  <c r="C3" i="2"/>
  <c r="F23" i="2" s="1"/>
  <c r="C14" i="2"/>
  <c r="G14" i="2" s="1"/>
  <c r="D14" i="2"/>
  <c r="E14" i="2" s="1"/>
  <c r="D13" i="2"/>
  <c r="E13" i="2" s="1"/>
  <c r="B14" i="2"/>
  <c r="B15" i="2" s="1"/>
  <c r="B16" i="2" s="1"/>
  <c r="B17" i="2" s="1"/>
  <c r="B18" i="2" s="1"/>
  <c r="B19" i="2" s="1"/>
  <c r="B20" i="2" s="1"/>
  <c r="B21" i="2" s="1"/>
  <c r="B22" i="2" s="1"/>
  <c r="B23" i="2" s="1"/>
  <c r="B24" i="2" s="1"/>
  <c r="B25" i="2" s="1"/>
  <c r="B26" i="2" s="1"/>
  <c r="B27" i="2" s="1"/>
  <c r="B28" i="2" s="1"/>
  <c r="J28" i="2" s="1"/>
  <c r="I14" i="2" l="1"/>
  <c r="F18" i="2"/>
  <c r="F26" i="2"/>
  <c r="M13" i="2"/>
  <c r="C15" i="2"/>
  <c r="F19" i="2"/>
  <c r="F27" i="2"/>
  <c r="F20" i="2"/>
  <c r="F28" i="2"/>
  <c r="F21" i="2"/>
  <c r="F14" i="2"/>
  <c r="F22" i="2"/>
  <c r="J14" i="2"/>
  <c r="F15" i="2"/>
  <c r="J15" i="2"/>
  <c r="H12" i="18"/>
  <c r="M11" i="18"/>
  <c r="O11" i="18" s="1"/>
  <c r="H12" i="17"/>
  <c r="M11" i="17"/>
  <c r="O11" i="17" s="1"/>
  <c r="H12" i="12"/>
  <c r="M11" i="12"/>
  <c r="N11" i="12" s="1"/>
  <c r="O11" i="12" s="1"/>
  <c r="J13" i="15"/>
  <c r="I9" i="9"/>
  <c r="F10" i="9" s="1"/>
  <c r="H10" i="9" s="1"/>
  <c r="A7" i="5"/>
  <c r="C7" i="8"/>
  <c r="D2" i="4"/>
  <c r="F9" i="6"/>
  <c r="F10" i="6" s="1"/>
  <c r="F11" i="6" s="1"/>
  <c r="F12" i="6" s="1"/>
  <c r="F13" i="6" s="1"/>
  <c r="F14" i="6" s="1"/>
  <c r="F15" i="6" s="1"/>
  <c r="F16" i="6" s="1"/>
  <c r="F17" i="6" s="1"/>
  <c r="F18" i="6" s="1"/>
  <c r="B16" i="3"/>
  <c r="Q14" i="3"/>
  <c r="G18" i="3"/>
  <c r="G26" i="3"/>
  <c r="G19" i="3"/>
  <c r="G27" i="3"/>
  <c r="D14" i="3"/>
  <c r="C15" i="3"/>
  <c r="G20" i="3"/>
  <c r="G28" i="3"/>
  <c r="G14" i="3"/>
  <c r="G15" i="3"/>
  <c r="G23" i="3"/>
  <c r="G16" i="3"/>
  <c r="G24" i="3"/>
  <c r="G22" i="3"/>
  <c r="G17" i="3"/>
  <c r="K14" i="2"/>
  <c r="J19" i="2"/>
  <c r="J27" i="2"/>
  <c r="J26" i="2"/>
  <c r="J20" i="2"/>
  <c r="J24" i="2"/>
  <c r="J18" i="2"/>
  <c r="J21" i="2"/>
  <c r="J17" i="2"/>
  <c r="J22" i="2"/>
  <c r="J25" i="2"/>
  <c r="J23" i="2"/>
  <c r="D15" i="2"/>
  <c r="E15" i="2" s="1"/>
  <c r="M14" i="2" l="1"/>
  <c r="O14" i="2"/>
  <c r="I15" i="2"/>
  <c r="N15" i="2"/>
  <c r="C16" i="2"/>
  <c r="G15" i="2"/>
  <c r="I12" i="12"/>
  <c r="I14" i="15"/>
  <c r="N13" i="15"/>
  <c r="O13" i="15" s="1"/>
  <c r="P13" i="15" s="1"/>
  <c r="I12" i="17"/>
  <c r="I12" i="18"/>
  <c r="I10" i="9"/>
  <c r="F11" i="9" s="1"/>
  <c r="H11" i="9" s="1"/>
  <c r="A8" i="5"/>
  <c r="A8" i="8"/>
  <c r="C8" i="8" s="1"/>
  <c r="G18" i="6"/>
  <c r="Q15" i="3"/>
  <c r="B17" i="3"/>
  <c r="L17" i="3" s="1"/>
  <c r="H15" i="3"/>
  <c r="D15" i="3"/>
  <c r="C16" i="3"/>
  <c r="K15" i="2"/>
  <c r="N16" i="2" s="1"/>
  <c r="I16" i="2" l="1"/>
  <c r="G16" i="2"/>
  <c r="C17" i="2"/>
  <c r="D16" i="2"/>
  <c r="E16" i="2" s="1"/>
  <c r="M15" i="2"/>
  <c r="O15" i="2"/>
  <c r="H13" i="18"/>
  <c r="M12" i="18"/>
  <c r="O12" i="18" s="1"/>
  <c r="H13" i="17"/>
  <c r="M12" i="17"/>
  <c r="O12" i="17" s="1"/>
  <c r="J14" i="15"/>
  <c r="H13" i="12"/>
  <c r="M12" i="12"/>
  <c r="N12" i="12" s="1"/>
  <c r="O12" i="12" s="1"/>
  <c r="I11" i="9"/>
  <c r="F12" i="9" s="1"/>
  <c r="H12" i="9" s="1"/>
  <c r="A9" i="5"/>
  <c r="A9" i="8"/>
  <c r="C9" i="8" s="1"/>
  <c r="M17" i="3"/>
  <c r="Q18" i="3" s="1"/>
  <c r="B18" i="3"/>
  <c r="H16" i="3"/>
  <c r="C17" i="3"/>
  <c r="D16" i="3"/>
  <c r="R14" i="3"/>
  <c r="K16" i="2"/>
  <c r="N17" i="2" s="1"/>
  <c r="C18" i="2" l="1"/>
  <c r="G17" i="2"/>
  <c r="D17" i="2"/>
  <c r="E17" i="2" s="1"/>
  <c r="O16" i="2"/>
  <c r="I17" i="2"/>
  <c r="M16" i="2"/>
  <c r="I13" i="12"/>
  <c r="I15" i="15"/>
  <c r="N14" i="15"/>
  <c r="O14" i="15" s="1"/>
  <c r="P14" i="15" s="1"/>
  <c r="I13" i="17"/>
  <c r="I13" i="18"/>
  <c r="I12" i="9"/>
  <c r="F13" i="9" s="1"/>
  <c r="H13" i="9" s="1"/>
  <c r="A10" i="5"/>
  <c r="A10" i="8"/>
  <c r="C10" i="8" s="1"/>
  <c r="C18" i="3"/>
  <c r="D17" i="3"/>
  <c r="H17" i="3"/>
  <c r="Q16" i="3"/>
  <c r="L18" i="3"/>
  <c r="B19" i="3"/>
  <c r="I18" i="2" l="1"/>
  <c r="K18" i="2" s="1"/>
  <c r="O18" i="2" s="1"/>
  <c r="M17" i="2"/>
  <c r="K17" i="2"/>
  <c r="C19" i="2"/>
  <c r="G18" i="2"/>
  <c r="D18" i="2"/>
  <c r="E18" i="2" s="1"/>
  <c r="H14" i="17"/>
  <c r="M13" i="17"/>
  <c r="O13" i="17" s="1"/>
  <c r="H14" i="18"/>
  <c r="M13" i="18"/>
  <c r="O13" i="18" s="1"/>
  <c r="J15" i="15"/>
  <c r="H14" i="12"/>
  <c r="M13" i="12"/>
  <c r="N13" i="12" s="1"/>
  <c r="O13" i="12" s="1"/>
  <c r="I13" i="9"/>
  <c r="F14" i="9" s="1"/>
  <c r="H14" i="9" s="1"/>
  <c r="A11" i="5"/>
  <c r="A11" i="8"/>
  <c r="C11" i="8" s="1"/>
  <c r="Q17" i="3"/>
  <c r="R15" i="3"/>
  <c r="B20" i="3"/>
  <c r="L19" i="3"/>
  <c r="C19" i="3"/>
  <c r="D18" i="3"/>
  <c r="E18" i="3" s="1"/>
  <c r="H18" i="3"/>
  <c r="C20" i="2" l="1"/>
  <c r="G19" i="2"/>
  <c r="D19" i="2"/>
  <c r="E19" i="2" s="1"/>
  <c r="N18" i="2"/>
  <c r="O17" i="2"/>
  <c r="M18" i="2"/>
  <c r="I14" i="12"/>
  <c r="I16" i="15"/>
  <c r="N15" i="15"/>
  <c r="O15" i="15" s="1"/>
  <c r="P15" i="15" s="1"/>
  <c r="I14" i="18"/>
  <c r="I14" i="17"/>
  <c r="I14" i="9"/>
  <c r="F15" i="9" s="1"/>
  <c r="H15" i="9" s="1"/>
  <c r="A12" i="5"/>
  <c r="A12" i="8"/>
  <c r="C12" i="8" s="1"/>
  <c r="B21" i="3"/>
  <c r="L20" i="3"/>
  <c r="R16" i="3"/>
  <c r="C20" i="3"/>
  <c r="D19" i="3"/>
  <c r="E19" i="3" s="1"/>
  <c r="H19" i="3"/>
  <c r="I19" i="2"/>
  <c r="N19" i="2"/>
  <c r="C21" i="2" l="1"/>
  <c r="G20" i="2"/>
  <c r="D20" i="2"/>
  <c r="E20" i="2" s="1"/>
  <c r="H15" i="17"/>
  <c r="M14" i="17"/>
  <c r="O14" i="17" s="1"/>
  <c r="H15" i="18"/>
  <c r="M14" i="18"/>
  <c r="O14" i="18" s="1"/>
  <c r="J16" i="15"/>
  <c r="H15" i="12"/>
  <c r="M14" i="12"/>
  <c r="N14" i="12" s="1"/>
  <c r="O14" i="12" s="1"/>
  <c r="I15" i="9"/>
  <c r="F16" i="9" s="1"/>
  <c r="H16" i="9" s="1"/>
  <c r="A13" i="5"/>
  <c r="A13" i="8"/>
  <c r="C13" i="8" s="1"/>
  <c r="L21" i="3"/>
  <c r="B22" i="3"/>
  <c r="H20" i="3"/>
  <c r="C21" i="3"/>
  <c r="D20" i="3"/>
  <c r="E20" i="3" s="1"/>
  <c r="K18" i="3"/>
  <c r="S18" i="3" s="1"/>
  <c r="R17" i="3"/>
  <c r="K19" i="2"/>
  <c r="O19" i="2" s="1"/>
  <c r="M19" i="2"/>
  <c r="C22" i="2" l="1"/>
  <c r="G21" i="2"/>
  <c r="D21" i="2"/>
  <c r="E21" i="2" s="1"/>
  <c r="I15" i="12"/>
  <c r="I17" i="15"/>
  <c r="N16" i="15"/>
  <c r="O16" i="15" s="1"/>
  <c r="P16" i="15" s="1"/>
  <c r="I15" i="18"/>
  <c r="I15" i="17"/>
  <c r="I16" i="9"/>
  <c r="F17" i="9" s="1"/>
  <c r="H17" i="9" s="1"/>
  <c r="A14" i="5"/>
  <c r="A14" i="8"/>
  <c r="C14" i="8" s="1"/>
  <c r="P18" i="3"/>
  <c r="O18" i="3"/>
  <c r="H21" i="3"/>
  <c r="C22" i="3"/>
  <c r="D21" i="3"/>
  <c r="E21" i="3" s="1"/>
  <c r="B23" i="3"/>
  <c r="L22" i="3"/>
  <c r="M18" i="3"/>
  <c r="Q19" i="3" s="1"/>
  <c r="I20" i="2"/>
  <c r="N20" i="2"/>
  <c r="C23" i="2" l="1"/>
  <c r="G22" i="2"/>
  <c r="D22" i="2"/>
  <c r="E22" i="2" s="1"/>
  <c r="H16" i="17"/>
  <c r="M15" i="17"/>
  <c r="O15" i="17" s="1"/>
  <c r="H16" i="18"/>
  <c r="M15" i="18"/>
  <c r="O15" i="18" s="1"/>
  <c r="J17" i="15"/>
  <c r="N17" i="15" s="1"/>
  <c r="O17" i="15" s="1"/>
  <c r="C19" i="15"/>
  <c r="P17" i="15"/>
  <c r="C20" i="15" s="1"/>
  <c r="C22" i="15" s="1"/>
  <c r="H16" i="12"/>
  <c r="M15" i="12"/>
  <c r="N15" i="12" s="1"/>
  <c r="O15" i="12" s="1"/>
  <c r="I17" i="9"/>
  <c r="F18" i="9" s="1"/>
  <c r="H18" i="9" s="1"/>
  <c r="A15" i="5"/>
  <c r="A15" i="8"/>
  <c r="C15" i="8" s="1"/>
  <c r="R18" i="3"/>
  <c r="K19" i="3"/>
  <c r="S19" i="3" s="1"/>
  <c r="B24" i="3"/>
  <c r="L23" i="3"/>
  <c r="H22" i="3"/>
  <c r="C23" i="3"/>
  <c r="D22" i="3"/>
  <c r="E22" i="3" s="1"/>
  <c r="M20" i="2"/>
  <c r="K20" i="2"/>
  <c r="N21" i="2" s="1"/>
  <c r="C24" i="2" l="1"/>
  <c r="G23" i="2"/>
  <c r="D23" i="2"/>
  <c r="E23" i="2" s="1"/>
  <c r="I16" i="12"/>
  <c r="I16" i="18"/>
  <c r="I16" i="17"/>
  <c r="I18" i="9"/>
  <c r="A16" i="5"/>
  <c r="A16" i="8"/>
  <c r="C16" i="8" s="1"/>
  <c r="P19" i="3"/>
  <c r="O19" i="3"/>
  <c r="M19" i="3"/>
  <c r="Q20" i="3" s="1"/>
  <c r="B25" i="3"/>
  <c r="L24" i="3"/>
  <c r="C24" i="3"/>
  <c r="H23" i="3"/>
  <c r="D23" i="3"/>
  <c r="E23" i="3" s="1"/>
  <c r="I21" i="2"/>
  <c r="O20" i="2"/>
  <c r="C25" i="2" l="1"/>
  <c r="G24" i="2"/>
  <c r="D24" i="2"/>
  <c r="E24" i="2" s="1"/>
  <c r="H17" i="17"/>
  <c r="M16" i="17"/>
  <c r="O16" i="17" s="1"/>
  <c r="H17" i="18"/>
  <c r="M16" i="18"/>
  <c r="O16" i="18" s="1"/>
  <c r="H17" i="12"/>
  <c r="M16" i="12"/>
  <c r="N16" i="12" s="1"/>
  <c r="O16" i="12" s="1"/>
  <c r="D2" i="9"/>
  <c r="M18" i="9"/>
  <c r="A17" i="8"/>
  <c r="C17" i="8" s="1"/>
  <c r="A17" i="5"/>
  <c r="K20" i="3"/>
  <c r="S20" i="3" s="1"/>
  <c r="R19" i="3"/>
  <c r="H24" i="3"/>
  <c r="D24" i="3"/>
  <c r="E24" i="3" s="1"/>
  <c r="C25" i="3"/>
  <c r="B26" i="3"/>
  <c r="L25" i="3"/>
  <c r="M21" i="2"/>
  <c r="K21" i="2"/>
  <c r="C26" i="2" l="1"/>
  <c r="G25" i="2"/>
  <c r="D25" i="2"/>
  <c r="E25" i="2" s="1"/>
  <c r="I17" i="12"/>
  <c r="M17" i="12" s="1"/>
  <c r="N17" i="12" s="1"/>
  <c r="C19" i="12"/>
  <c r="O17" i="12"/>
  <c r="C20" i="12" s="1"/>
  <c r="C22" i="12" s="1"/>
  <c r="I17" i="18"/>
  <c r="M17" i="18" s="1"/>
  <c r="O17" i="18" s="1"/>
  <c r="C20" i="18" s="1"/>
  <c r="C22" i="18" s="1"/>
  <c r="C19" i="18"/>
  <c r="I17" i="17"/>
  <c r="M17" i="17" s="1"/>
  <c r="O17" i="17" s="1"/>
  <c r="C20" i="17" s="1"/>
  <c r="C22" i="17" s="1"/>
  <c r="C19" i="17"/>
  <c r="A18" i="5"/>
  <c r="A18" i="8"/>
  <c r="C18" i="8" s="1"/>
  <c r="O20" i="3"/>
  <c r="P20" i="3"/>
  <c r="M20" i="3"/>
  <c r="Q21" i="3" s="1"/>
  <c r="C26" i="3"/>
  <c r="D25" i="3"/>
  <c r="E25" i="3" s="1"/>
  <c r="H25" i="3"/>
  <c r="B27" i="3"/>
  <c r="L26" i="3"/>
  <c r="I22" i="2"/>
  <c r="N22" i="2"/>
  <c r="O21" i="2"/>
  <c r="C27" i="2" l="1"/>
  <c r="G26" i="2"/>
  <c r="D26" i="2"/>
  <c r="E26" i="2" s="1"/>
  <c r="A19" i="5"/>
  <c r="A19" i="8"/>
  <c r="C19" i="8" s="1"/>
  <c r="R20" i="3"/>
  <c r="K21" i="3"/>
  <c r="S21" i="3" s="1"/>
  <c r="C27" i="3"/>
  <c r="D26" i="3"/>
  <c r="E26" i="3" s="1"/>
  <c r="H26" i="3"/>
  <c r="B28" i="3"/>
  <c r="L28" i="3" s="1"/>
  <c r="L27" i="3"/>
  <c r="K22" i="2"/>
  <c r="M22" i="2"/>
  <c r="O22" i="2"/>
  <c r="C28" i="2" l="1"/>
  <c r="G27" i="2"/>
  <c r="D27" i="2"/>
  <c r="E27" i="2" s="1"/>
  <c r="A20" i="5"/>
  <c r="A20" i="8"/>
  <c r="C20" i="8" s="1"/>
  <c r="P21" i="3"/>
  <c r="O21" i="3"/>
  <c r="M21" i="3"/>
  <c r="C28" i="3"/>
  <c r="D27" i="3"/>
  <c r="E27" i="3" s="1"/>
  <c r="H27" i="3"/>
  <c r="I23" i="2"/>
  <c r="N23" i="2"/>
  <c r="G28" i="2" l="1"/>
  <c r="D28" i="2"/>
  <c r="E28" i="2" s="1"/>
  <c r="A21" i="5"/>
  <c r="A21" i="8"/>
  <c r="C21" i="8" s="1"/>
  <c r="K22" i="3"/>
  <c r="S22" i="3" s="1"/>
  <c r="Q22" i="3"/>
  <c r="R21" i="3"/>
  <c r="H28" i="3"/>
  <c r="D28" i="3"/>
  <c r="E28" i="3" s="1"/>
  <c r="K23" i="2"/>
  <c r="M23" i="2"/>
  <c r="O23" i="2"/>
  <c r="A22" i="5" l="1"/>
  <c r="A22" i="8"/>
  <c r="C22" i="8" s="1"/>
  <c r="P22" i="3"/>
  <c r="O22" i="3"/>
  <c r="M22" i="3"/>
  <c r="Q23" i="3" s="1"/>
  <c r="R22" i="3"/>
  <c r="K23" i="3"/>
  <c r="S23" i="3" s="1"/>
  <c r="I24" i="2"/>
  <c r="N24" i="2"/>
  <c r="A23" i="5" l="1"/>
  <c r="A23" i="8"/>
  <c r="C23" i="8" s="1"/>
  <c r="P23" i="3"/>
  <c r="O23" i="3"/>
  <c r="M23" i="3"/>
  <c r="Q24" i="3" s="1"/>
  <c r="M24" i="2"/>
  <c r="K24" i="2"/>
  <c r="A24" i="5" l="1"/>
  <c r="A24" i="8"/>
  <c r="C24" i="8" s="1"/>
  <c r="R23" i="3"/>
  <c r="K24" i="3"/>
  <c r="S24" i="3" s="1"/>
  <c r="I25" i="2"/>
  <c r="N25" i="2"/>
  <c r="O24" i="2"/>
  <c r="A25" i="5" l="1"/>
  <c r="A26" i="8" s="1"/>
  <c r="C26" i="8" s="1"/>
  <c r="A25" i="8"/>
  <c r="C25" i="8" s="1"/>
  <c r="O24" i="3"/>
  <c r="P24" i="3"/>
  <c r="M24" i="3"/>
  <c r="Q25" i="3" s="1"/>
  <c r="K25" i="3"/>
  <c r="S25" i="3" s="1"/>
  <c r="R24" i="3"/>
  <c r="M25" i="2"/>
  <c r="K25" i="2"/>
  <c r="O25" i="2" s="1"/>
  <c r="P25" i="3" l="1"/>
  <c r="O25" i="3"/>
  <c r="M25" i="3"/>
  <c r="Q26" i="3" s="1"/>
  <c r="K26" i="3"/>
  <c r="S26" i="3" s="1"/>
  <c r="R25" i="3"/>
  <c r="I26" i="2"/>
  <c r="N26" i="2"/>
  <c r="P26" i="3" l="1"/>
  <c r="O26" i="3"/>
  <c r="M26" i="3"/>
  <c r="Q27" i="3" s="1"/>
  <c r="K27" i="3"/>
  <c r="S27" i="3" s="1"/>
  <c r="R26" i="3"/>
  <c r="M26" i="2"/>
  <c r="K26" i="2"/>
  <c r="P27" i="3" l="1"/>
  <c r="O27" i="3"/>
  <c r="M27" i="3"/>
  <c r="Q28" i="3" s="1"/>
  <c r="W28" i="3" s="1"/>
  <c r="W27" i="3" s="1"/>
  <c r="W26" i="3" s="1"/>
  <c r="W25" i="3" s="1"/>
  <c r="W24" i="3" s="1"/>
  <c r="W23" i="3" s="1"/>
  <c r="W22" i="3" s="1"/>
  <c r="W21" i="3" s="1"/>
  <c r="W20" i="3" s="1"/>
  <c r="W19" i="3" s="1"/>
  <c r="W18" i="3" s="1"/>
  <c r="W17" i="3" s="1"/>
  <c r="K28" i="3"/>
  <c r="S28" i="3" s="1"/>
  <c r="Y28" i="3" s="1"/>
  <c r="Y27" i="3" s="1"/>
  <c r="Y26" i="3" s="1"/>
  <c r="Y25" i="3" s="1"/>
  <c r="Y24" i="3" s="1"/>
  <c r="Y23" i="3" s="1"/>
  <c r="Y22" i="3" s="1"/>
  <c r="Y21" i="3" s="1"/>
  <c r="Y20" i="3" s="1"/>
  <c r="Y19" i="3" s="1"/>
  <c r="Y18" i="3" s="1"/>
  <c r="Y17" i="3" s="1"/>
  <c r="AB13" i="3" s="1"/>
  <c r="R27" i="3"/>
  <c r="I27" i="2"/>
  <c r="N27" i="2"/>
  <c r="O26" i="2"/>
  <c r="P28" i="3" l="1"/>
  <c r="V28" i="3" s="1"/>
  <c r="V27" i="3" s="1"/>
  <c r="V26" i="3" s="1"/>
  <c r="V25" i="3" s="1"/>
  <c r="V24" i="3" s="1"/>
  <c r="V23" i="3" s="1"/>
  <c r="V22" i="3" s="1"/>
  <c r="V21" i="3" s="1"/>
  <c r="V20" i="3" s="1"/>
  <c r="V19" i="3" s="1"/>
  <c r="V18" i="3" s="1"/>
  <c r="V17" i="3" s="1"/>
  <c r="O28" i="3"/>
  <c r="M28" i="3"/>
  <c r="K29" i="3" s="1"/>
  <c r="U28" i="3"/>
  <c r="U27" i="3" s="1"/>
  <c r="U26" i="3" s="1"/>
  <c r="U25" i="3" s="1"/>
  <c r="M27" i="2"/>
  <c r="K27" i="2"/>
  <c r="R28" i="3" l="1"/>
  <c r="X28" i="3" s="1"/>
  <c r="X27" i="3" s="1"/>
  <c r="X26" i="3" s="1"/>
  <c r="X25" i="3" s="1"/>
  <c r="X24" i="3" s="1"/>
  <c r="X23" i="3" s="1"/>
  <c r="X22" i="3" s="1"/>
  <c r="X21" i="3" s="1"/>
  <c r="X20" i="3" s="1"/>
  <c r="X19" i="3" s="1"/>
  <c r="X18" i="3" s="1"/>
  <c r="X17" i="3" s="1"/>
  <c r="U24" i="3"/>
  <c r="I28" i="2"/>
  <c r="N28" i="2"/>
  <c r="O27" i="2"/>
  <c r="R28" i="2" l="1"/>
  <c r="V17" i="2"/>
  <c r="U23" i="3"/>
  <c r="R27" i="2"/>
  <c r="M28" i="2"/>
  <c r="K28" i="2"/>
  <c r="I29" i="2" s="1"/>
  <c r="Q28" i="2" l="1"/>
  <c r="Q27" i="2" s="1"/>
  <c r="U17" i="2"/>
  <c r="U22" i="3"/>
  <c r="O28" i="2"/>
  <c r="R26" i="2"/>
  <c r="S28" i="2" l="1"/>
  <c r="T28" i="2" s="1"/>
  <c r="W17" i="2"/>
  <c r="U21" i="3"/>
  <c r="R25" i="2"/>
  <c r="Q26" i="2"/>
  <c r="S27" i="2" l="1"/>
  <c r="S26" i="2" s="1"/>
  <c r="U20" i="3"/>
  <c r="Q25" i="2"/>
  <c r="R24" i="2"/>
  <c r="T27" i="2" l="1"/>
  <c r="U19" i="3"/>
  <c r="R23" i="2"/>
  <c r="S25" i="2"/>
  <c r="T26" i="2"/>
  <c r="Q24" i="2"/>
  <c r="U18" i="3" l="1"/>
  <c r="U17" i="3" s="1"/>
  <c r="S24" i="2"/>
  <c r="T25" i="2"/>
  <c r="Q23" i="2"/>
  <c r="R22" i="2"/>
  <c r="Q22" i="2" l="1"/>
  <c r="R21" i="2"/>
  <c r="S23" i="2"/>
  <c r="T24" i="2"/>
  <c r="S22" i="2" l="1"/>
  <c r="T23" i="2"/>
  <c r="R20" i="2"/>
  <c r="Q21" i="2"/>
  <c r="R19" i="2" l="1"/>
  <c r="Q20" i="2"/>
  <c r="S21" i="2"/>
  <c r="T22" i="2"/>
  <c r="Q19" i="2" l="1"/>
  <c r="S20" i="2"/>
  <c r="T21" i="2"/>
  <c r="R18" i="2"/>
  <c r="R17" i="2" l="1"/>
  <c r="S19" i="2"/>
  <c r="T20" i="2"/>
  <c r="Q18" i="2"/>
  <c r="S18" i="2" l="1"/>
  <c r="T19" i="2"/>
  <c r="Q17" i="2"/>
  <c r="R16" i="2"/>
  <c r="Q16" i="2" l="1"/>
  <c r="R15" i="2"/>
  <c r="S17" i="2"/>
  <c r="T18" i="2"/>
  <c r="S16" i="2" l="1"/>
  <c r="T17" i="2"/>
  <c r="R14" i="2"/>
  <c r="Q15" i="2"/>
  <c r="Q14" i="2" l="1"/>
  <c r="R13" i="2"/>
  <c r="S15" i="2"/>
  <c r="T16" i="2"/>
  <c r="S14" i="2" l="1"/>
  <c r="T15" i="2"/>
  <c r="Q13" i="2"/>
  <c r="S13" i="2" l="1"/>
  <c r="T13" i="2" s="1"/>
  <c r="T14" i="2"/>
</calcChain>
</file>

<file path=xl/comments1.xml><?xml version="1.0" encoding="utf-8"?>
<comments xmlns="http://schemas.openxmlformats.org/spreadsheetml/2006/main">
  <authors>
    <author>Author</author>
  </authors>
  <commentList>
    <comment ref="F3" authorId="0" shapeId="0">
      <text>
        <r>
          <rPr>
            <b/>
            <sz val="9"/>
            <color indexed="81"/>
            <rFont val="Tahoma"/>
            <family val="2"/>
          </rPr>
          <t>Author:</t>
        </r>
        <r>
          <rPr>
            <sz val="9"/>
            <color indexed="81"/>
            <rFont val="Tahoma"/>
            <family val="2"/>
          </rPr>
          <t xml:space="preserve">
Updated for correct linkage to investment rate - +1%</t>
        </r>
      </text>
    </comment>
    <comment ref="K3" authorId="0" shapeId="0">
      <text>
        <r>
          <rPr>
            <b/>
            <sz val="9"/>
            <color indexed="81"/>
            <rFont val="Tahoma"/>
            <family val="2"/>
          </rPr>
          <t>Author:</t>
        </r>
        <r>
          <rPr>
            <sz val="9"/>
            <color indexed="81"/>
            <rFont val="Tahoma"/>
            <family val="2"/>
          </rPr>
          <t xml:space="preserve">
Updated for correct linkage to investment rate - +1%</t>
        </r>
      </text>
    </comment>
    <comment ref="N4" authorId="0" shapeId="0">
      <text>
        <r>
          <rPr>
            <b/>
            <sz val="9"/>
            <color indexed="81"/>
            <rFont val="Tahoma"/>
            <family val="2"/>
          </rPr>
          <t>Author:</t>
        </r>
        <r>
          <rPr>
            <sz val="9"/>
            <color indexed="81"/>
            <rFont val="Tahoma"/>
            <family val="2"/>
          </rPr>
          <t xml:space="preserve">
Updated for correct linkage to investment rate - +1%</t>
        </r>
      </text>
    </comment>
  </commentList>
</comments>
</file>

<file path=xl/comments2.xml><?xml version="1.0" encoding="utf-8"?>
<comments xmlns="http://schemas.openxmlformats.org/spreadsheetml/2006/main">
  <authors>
    <author>Author</author>
  </authors>
  <commentList>
    <comment ref="F3" authorId="0" shapeId="0">
      <text>
        <r>
          <rPr>
            <b/>
            <sz val="9"/>
            <color indexed="81"/>
            <rFont val="Tahoma"/>
            <family val="2"/>
          </rPr>
          <t>Author:</t>
        </r>
        <r>
          <rPr>
            <sz val="9"/>
            <color indexed="81"/>
            <rFont val="Tahoma"/>
            <family val="2"/>
          </rPr>
          <t xml:space="preserve">
Updated for correct linkage to investment rate - -1%</t>
        </r>
      </text>
    </comment>
    <comment ref="K3" authorId="0" shapeId="0">
      <text>
        <r>
          <rPr>
            <b/>
            <sz val="9"/>
            <color indexed="81"/>
            <rFont val="Tahoma"/>
            <family val="2"/>
          </rPr>
          <t>Author:</t>
        </r>
        <r>
          <rPr>
            <sz val="9"/>
            <color indexed="81"/>
            <rFont val="Tahoma"/>
            <family val="2"/>
          </rPr>
          <t xml:space="preserve">
Updated for correct linkage to investment rate - -1%</t>
        </r>
      </text>
    </comment>
    <comment ref="N4" authorId="0" shapeId="0">
      <text>
        <r>
          <rPr>
            <b/>
            <sz val="9"/>
            <color indexed="81"/>
            <rFont val="Tahoma"/>
            <family val="2"/>
          </rPr>
          <t>Author:</t>
        </r>
        <r>
          <rPr>
            <sz val="9"/>
            <color indexed="81"/>
            <rFont val="Tahoma"/>
            <family val="2"/>
          </rPr>
          <t xml:space="preserve">
Updated for correct linkage to investment rate - -1%</t>
        </r>
      </text>
    </comment>
  </commentList>
</comments>
</file>

<file path=xl/sharedStrings.xml><?xml version="1.0" encoding="utf-8"?>
<sst xmlns="http://schemas.openxmlformats.org/spreadsheetml/2006/main" count="273" uniqueCount="110">
  <si>
    <t>Age</t>
  </si>
  <si>
    <t>Mortality</t>
  </si>
  <si>
    <t>End of policy year</t>
  </si>
  <si>
    <t>Time steps for premium payment</t>
  </si>
  <si>
    <t>Premium amount</t>
  </si>
  <si>
    <t>Death Benefit</t>
  </si>
  <si>
    <t>Maturity</t>
  </si>
  <si>
    <t>Interest rate</t>
  </si>
  <si>
    <t>Maturity Benefit</t>
  </si>
  <si>
    <t>Expense</t>
  </si>
  <si>
    <t>Probability in-force</t>
  </si>
  <si>
    <t>Ind probability of death</t>
  </si>
  <si>
    <t>Prob of death</t>
  </si>
  <si>
    <t>Net Premium</t>
  </si>
  <si>
    <t>Office Premium Amount</t>
  </si>
  <si>
    <t>Net Premium Cash flow</t>
  </si>
  <si>
    <t>Death Benefit Cash flow</t>
  </si>
  <si>
    <t>Maturity Benefit Cash flow</t>
  </si>
  <si>
    <t>PV Premium</t>
  </si>
  <si>
    <t>PV Death Benefit</t>
  </si>
  <si>
    <t>PV Maturity Benefit</t>
  </si>
  <si>
    <t>Goal seek this to be 0 by changing value of net premium</t>
  </si>
  <si>
    <t>PV Benefits - PV Premium</t>
  </si>
  <si>
    <t>Marks 2</t>
  </si>
  <si>
    <t>Marks 1</t>
  </si>
  <si>
    <t>Determined using goal seek (mark 2)</t>
  </si>
  <si>
    <t>(same as previous part)</t>
  </si>
  <si>
    <t>Gross Premium due</t>
  </si>
  <si>
    <t>Net Premium due</t>
  </si>
  <si>
    <t>Gross Premium Cash flow</t>
  </si>
  <si>
    <t>Net premium cash flow</t>
  </si>
  <si>
    <t>PV Gross Premium</t>
  </si>
  <si>
    <t>PV Net Premium</t>
  </si>
  <si>
    <t>Expense cash flow</t>
  </si>
  <si>
    <t>PV Expenses</t>
  </si>
  <si>
    <t>Net premium reserve</t>
  </si>
  <si>
    <t>Gross premium reserve</t>
  </si>
  <si>
    <t>Marks 0.5</t>
  </si>
  <si>
    <t>Equity index</t>
  </si>
  <si>
    <t>Time step</t>
  </si>
  <si>
    <t>Beginning of year</t>
  </si>
  <si>
    <t>Investments</t>
  </si>
  <si>
    <t>Return</t>
  </si>
  <si>
    <t>Accumulated value at end of year</t>
  </si>
  <si>
    <t>Marks 3</t>
  </si>
  <si>
    <t>Accumulated value at end of 11 years</t>
  </si>
  <si>
    <t>Annualised return</t>
  </si>
  <si>
    <t>Goal seek such that value at end of year 11 is same as part a</t>
  </si>
  <si>
    <t>Force of interest</t>
  </si>
  <si>
    <t>Spot rate</t>
  </si>
  <si>
    <t>Accumulated value at end of year (before charge)</t>
  </si>
  <si>
    <t>Age at start</t>
  </si>
  <si>
    <t>Age at end</t>
  </si>
  <si>
    <t>Mortality rate</t>
  </si>
  <si>
    <t>Mortality charge</t>
  </si>
  <si>
    <t>Fund value after mortality charge</t>
  </si>
  <si>
    <t>Accumulated value on annualised return</t>
  </si>
  <si>
    <t>Comment: Return is lower as charge is paid to avail additional protection benefit.  Therefore, investor parts with some return to protect against mortality risk</t>
  </si>
  <si>
    <t>Return credited</t>
  </si>
  <si>
    <t>Determined using goal seek</t>
  </si>
  <si>
    <t>Marks 1.5</t>
  </si>
  <si>
    <t>Mark 1.5</t>
  </si>
  <si>
    <t>Sum Assured</t>
  </si>
  <si>
    <t>Premium</t>
  </si>
  <si>
    <t>Policy Term</t>
  </si>
  <si>
    <t>Premium Term</t>
  </si>
  <si>
    <t>Initial Expense</t>
  </si>
  <si>
    <t>Renewal Expense</t>
  </si>
  <si>
    <t>Investment Return</t>
  </si>
  <si>
    <t>Investment Return + 100 bps</t>
  </si>
  <si>
    <t>Investment Return - 100 bps</t>
  </si>
  <si>
    <t>Mortality Improvement Factor</t>
  </si>
  <si>
    <t>Commision</t>
  </si>
  <si>
    <t>Year</t>
  </si>
  <si>
    <t>Risk Discount Rate</t>
  </si>
  <si>
    <t>Policy Year</t>
  </si>
  <si>
    <t>Commssion</t>
  </si>
  <si>
    <t>Int. on BOY CFs</t>
  </si>
  <si>
    <t>Probability Inforce BOY</t>
  </si>
  <si>
    <t>Probability Inforce EOY</t>
  </si>
  <si>
    <t>Cost of 
Death</t>
  </si>
  <si>
    <t>Cost of 
Death adj. for inv. Return</t>
  </si>
  <si>
    <t>Net Cashflow 
excl Reserves 
(wo probability)</t>
  </si>
  <si>
    <t>Reserves 
at EOY</t>
  </si>
  <si>
    <t>Addl Reserve required (after adjustment for interest)</t>
  </si>
  <si>
    <t>Expected EoY Net Cashflow 
incl Reserves 
(w probability)</t>
  </si>
  <si>
    <t>Discount 
Factor (EoY)</t>
  </si>
  <si>
    <t>Expected Present Value 
of Premium paid at BoY</t>
  </si>
  <si>
    <t>Expected Present Value 
of Net Cashflow at EoY</t>
  </si>
  <si>
    <t>Profit Margin</t>
  </si>
  <si>
    <t>TIme</t>
  </si>
  <si>
    <t>Reserves</t>
  </si>
  <si>
    <t>3 marks for correct graph.</t>
  </si>
  <si>
    <t>Question 1 (iii)</t>
  </si>
  <si>
    <t>Shape of the reserve is inverted U or inverted V curve. As this is a term assurance, the only benefit is death benefit and no maturity benefit is payable, hence the reserves decreases as we approach end of policy term.</t>
  </si>
  <si>
    <t>1 mark</t>
  </si>
  <si>
    <t>Level premiums are charged to cover the death benefit which increases due to increase in mortality. The reserve increases initially when the income received is more than the expected death benefit payable in the particular year, however the reserve tend to decrease as the company fulfils its obligation in years where the expected death benefit is higher than premium and as the term of the contract reduces the likelihood of the payment from policy decreases.</t>
  </si>
  <si>
    <t>2 marks</t>
  </si>
  <si>
    <t>3 mrks for correctly copying information.</t>
  </si>
  <si>
    <t>Improvement  in Mortality</t>
  </si>
  <si>
    <t>Discount 
Factor</t>
  </si>
  <si>
    <t>Question 1 (v)</t>
  </si>
  <si>
    <t>Expected Profit Margin of the contract has increased as the company now has to pay lower expected death benefit, due to improvement in mortality, while the company continues to charge the same premium.</t>
  </si>
  <si>
    <t>1 marks</t>
  </si>
  <si>
    <t>Question 1 (vi)</t>
  </si>
  <si>
    <t>3 mrks for correctly copying information &amp; updating relevant sections.</t>
  </si>
  <si>
    <r>
      <t xml:space="preserve">Under the sensitivity with 100bps increase in investment return, Value of the net cashflow has increased as a result of increase in investment return. Overall profit margin has </t>
    </r>
    <r>
      <rPr>
        <sz val="11"/>
        <color theme="5"/>
        <rFont val="Calibri"/>
        <family val="2"/>
      </rPr>
      <t>increased</t>
    </r>
    <r>
      <rPr>
        <sz val="11"/>
        <color rgb="FF000000"/>
        <rFont val="Calibri"/>
        <charset val="134"/>
      </rPr>
      <t xml:space="preserve"> but its impact has reduced due to increase in Risk Discount Rate which also impact the discounting on the cashflows .</t>
    </r>
  </si>
  <si>
    <r>
      <t xml:space="preserve">Under the sensitivity with 100bps decrease in investment return, Value of the net cashflow has decreased as a result of decrease in investment return. Overall profit margin has </t>
    </r>
    <r>
      <rPr>
        <sz val="11"/>
        <color theme="5"/>
        <rFont val="Calibri"/>
        <family val="2"/>
      </rPr>
      <t>decreased</t>
    </r>
    <r>
      <rPr>
        <sz val="11"/>
        <color rgb="FF000000"/>
        <rFont val="Calibri"/>
        <charset val="134"/>
      </rPr>
      <t xml:space="preserve"> but its impact has reduced due to increase in Risk Discount Rate which also impact the discounting on the cashflows .</t>
    </r>
  </si>
  <si>
    <t>NOTE:  marks may also be awarded, if first expense cash flow is assumed to occur with probability of 1; provided that discount factor is also consistent (i.e. discount factor applied on the cash flow should then be 1)</t>
  </si>
  <si>
    <t>(see note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</si>
</sst>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00_);[Red]\(&quot;$&quot;#,##0.00\)"/>
    <numFmt numFmtId="165" formatCode="_(* #,##0.00_);_(* \(#,##0.00\);_(* &quot;-&quot;??_);_(@_)"/>
    <numFmt numFmtId="166" formatCode="0.000000"/>
    <numFmt numFmtId="167" formatCode="_(* #,##0_);_(* \(#,##0\);_(* &quot;-&quot;??_);_(@_)"/>
    <numFmt numFmtId="168" formatCode="0.0%"/>
    <numFmt numFmtId="169" formatCode="_(* #,##0.00000_);_(* \(#,##0.00000\);_(* &quot;-&quot;??_);_(@_)"/>
    <numFmt numFmtId="170" formatCode="0.0"/>
    <numFmt numFmtId="171" formatCode="_ * #,##0.00_ ;_ * \-#,##0.00_ ;_ * \-??_ ;_ @_ "/>
    <numFmt numFmtId="172" formatCode="_ * #,##0_ ;_ * \-#,##0_ ;_ * \-??_ ;_ @_ "/>
    <numFmt numFmtId="173" formatCode="0.000000_ "/>
    <numFmt numFmtId="174" formatCode="0_ "/>
  </numFmts>
  <fonts count="16">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rgb="FF000000"/>
      <name val="Calibri"/>
      <charset val="134"/>
    </font>
    <font>
      <b/>
      <sz val="11"/>
      <color rgb="FF000000"/>
      <name val="Calibri"/>
      <charset val="1"/>
    </font>
    <font>
      <sz val="11"/>
      <color rgb="FFFF0000"/>
      <name val="Calibri"/>
      <charset val="1"/>
    </font>
    <font>
      <b/>
      <sz val="11"/>
      <name val="Calibri"/>
      <charset val="1"/>
    </font>
    <font>
      <b/>
      <sz val="11"/>
      <color rgb="FF000000"/>
      <name val="Calibri"/>
      <charset val="134"/>
    </font>
    <font>
      <sz val="11"/>
      <name val="Calibri"/>
      <charset val="1"/>
    </font>
    <font>
      <sz val="9"/>
      <color indexed="81"/>
      <name val="Tahoma"/>
      <family val="2"/>
    </font>
    <font>
      <b/>
      <sz val="9"/>
      <color indexed="81"/>
      <name val="Tahoma"/>
      <family val="2"/>
    </font>
    <font>
      <sz val="11"/>
      <color rgb="FFFF0000"/>
      <name val="Calibri"/>
      <family val="2"/>
    </font>
    <font>
      <sz val="11"/>
      <color theme="5"/>
      <name val="Calibri"/>
      <family val="2"/>
    </font>
    <font>
      <sz val="11"/>
      <color rgb="FF000000"/>
      <name val="Calibri"/>
      <family val="2"/>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9">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xf numFmtId="171" fontId="5" fillId="0" borderId="0" applyBorder="0" applyProtection="0"/>
  </cellStyleXfs>
  <cellXfs count="70">
    <xf numFmtId="0" fontId="0" fillId="0" borderId="0" xfId="0"/>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Border="1" applyAlignment="1">
      <alignment horizontal="center"/>
    </xf>
    <xf numFmtId="166" fontId="0" fillId="0" borderId="4" xfId="0" applyNumberFormat="1" applyBorder="1" applyAlignment="1">
      <alignment horizontal="center"/>
    </xf>
    <xf numFmtId="0" fontId="0" fillId="0" borderId="5" xfId="0" applyBorder="1" applyAlignment="1">
      <alignment horizontal="center"/>
    </xf>
    <xf numFmtId="166" fontId="0" fillId="0" borderId="6" xfId="0" applyNumberFormat="1" applyBorder="1" applyAlignment="1">
      <alignment horizontal="center"/>
    </xf>
    <xf numFmtId="0" fontId="0" fillId="0" borderId="7" xfId="0" applyBorder="1" applyAlignment="1">
      <alignment horizontal="center"/>
    </xf>
    <xf numFmtId="166" fontId="0" fillId="0" borderId="8" xfId="0" applyNumberFormat="1" applyBorder="1" applyAlignment="1">
      <alignment horizontal="center"/>
    </xf>
    <xf numFmtId="167" fontId="0" fillId="0" borderId="0" xfId="1" applyNumberFormat="1" applyFont="1"/>
    <xf numFmtId="167" fontId="0" fillId="0" borderId="0" xfId="0" applyNumberFormat="1"/>
    <xf numFmtId="168" fontId="0" fillId="0" borderId="0" xfId="2" applyNumberFormat="1" applyFont="1"/>
    <xf numFmtId="169" fontId="0" fillId="0" borderId="0" xfId="1" applyNumberFormat="1" applyFont="1"/>
    <xf numFmtId="165" fontId="0" fillId="0" borderId="0" xfId="0" applyNumberFormat="1"/>
    <xf numFmtId="165" fontId="0" fillId="0" borderId="0" xfId="1" applyNumberFormat="1" applyFont="1"/>
    <xf numFmtId="0" fontId="2" fillId="0" borderId="0" xfId="0" applyFont="1"/>
    <xf numFmtId="167" fontId="0" fillId="2" borderId="0" xfId="1" applyNumberFormat="1" applyFont="1" applyFill="1"/>
    <xf numFmtId="0" fontId="0" fillId="0" borderId="0" xfId="0" applyAlignment="1">
      <alignment vertical="center" wrapText="1"/>
    </xf>
    <xf numFmtId="167" fontId="0" fillId="0" borderId="0" xfId="1" applyNumberFormat="1" applyFont="1" applyAlignment="1">
      <alignment vertical="center" wrapText="1"/>
    </xf>
    <xf numFmtId="167" fontId="3" fillId="0" borderId="0" xfId="1" applyNumberFormat="1" applyFont="1"/>
    <xf numFmtId="165" fontId="0" fillId="0" borderId="0" xfId="0" applyNumberFormat="1" applyAlignment="1">
      <alignment vertical="center" wrapText="1"/>
    </xf>
    <xf numFmtId="164" fontId="2" fillId="0" borderId="0" xfId="0" applyNumberFormat="1" applyFont="1"/>
    <xf numFmtId="9" fontId="0" fillId="0" borderId="0" xfId="0" applyNumberFormat="1"/>
    <xf numFmtId="10" fontId="0" fillId="0" borderId="0" xfId="0" applyNumberFormat="1"/>
    <xf numFmtId="10" fontId="0" fillId="0" borderId="0" xfId="2" applyNumberFormat="1" applyFont="1"/>
    <xf numFmtId="170" fontId="0" fillId="0" borderId="6" xfId="0" applyNumberFormat="1" applyBorder="1" applyAlignment="1">
      <alignment horizontal="center"/>
    </xf>
    <xf numFmtId="0" fontId="0" fillId="0" borderId="0" xfId="0" applyAlignment="1">
      <alignment vertical="top" wrapText="1"/>
    </xf>
    <xf numFmtId="168" fontId="0" fillId="0" borderId="0" xfId="0" applyNumberFormat="1"/>
    <xf numFmtId="0" fontId="3" fillId="0" borderId="0" xfId="0" applyFont="1"/>
    <xf numFmtId="0" fontId="4" fillId="0" borderId="0" xfId="0" applyFont="1"/>
    <xf numFmtId="0" fontId="3" fillId="0" borderId="0" xfId="0" applyFont="1" applyAlignment="1">
      <alignment vertical="center" wrapText="1"/>
    </xf>
    <xf numFmtId="0" fontId="3" fillId="0" borderId="0" xfId="0" applyFont="1" applyAlignment="1">
      <alignment wrapText="1"/>
    </xf>
    <xf numFmtId="0" fontId="4" fillId="0" borderId="0" xfId="0" applyFont="1" applyAlignment="1">
      <alignment wrapText="1"/>
    </xf>
    <xf numFmtId="0" fontId="5" fillId="0" borderId="0" xfId="3"/>
    <xf numFmtId="172" fontId="0" fillId="0" borderId="0" xfId="4" applyNumberFormat="1" applyFont="1" applyBorder="1" applyAlignment="1" applyProtection="1"/>
    <xf numFmtId="9" fontId="5" fillId="0" borderId="0" xfId="3" applyNumberFormat="1"/>
    <xf numFmtId="0" fontId="5" fillId="0" borderId="1" xfId="3" applyFont="1" applyBorder="1" applyAlignment="1">
      <alignment horizontal="center"/>
    </xf>
    <xf numFmtId="0" fontId="5" fillId="0" borderId="2" xfId="3" applyFont="1" applyBorder="1" applyAlignment="1">
      <alignment horizontal="center"/>
    </xf>
    <xf numFmtId="0" fontId="5" fillId="0" borderId="3" xfId="3" applyBorder="1" applyAlignment="1">
      <alignment horizontal="center"/>
    </xf>
    <xf numFmtId="9" fontId="5" fillId="0" borderId="4" xfId="3" applyNumberFormat="1" applyBorder="1" applyAlignment="1">
      <alignment horizontal="center"/>
    </xf>
    <xf numFmtId="0" fontId="5" fillId="0" borderId="7" xfId="3" applyBorder="1" applyAlignment="1">
      <alignment horizontal="center"/>
    </xf>
    <xf numFmtId="9" fontId="5" fillId="0" borderId="8" xfId="3" applyNumberFormat="1" applyBorder="1" applyAlignment="1">
      <alignment horizontal="center"/>
    </xf>
    <xf numFmtId="0" fontId="5" fillId="0" borderId="5" xfId="3" applyBorder="1" applyAlignment="1">
      <alignment horizontal="center"/>
    </xf>
    <xf numFmtId="9" fontId="5" fillId="0" borderId="6" xfId="3" applyNumberFormat="1" applyBorder="1" applyAlignment="1">
      <alignment horizontal="center"/>
    </xf>
    <xf numFmtId="166" fontId="5" fillId="0" borderId="4" xfId="3" applyNumberFormat="1" applyBorder="1" applyAlignment="1">
      <alignment horizontal="center"/>
    </xf>
    <xf numFmtId="166" fontId="5" fillId="0" borderId="6" xfId="3" applyNumberFormat="1" applyBorder="1" applyAlignment="1">
      <alignment horizontal="center"/>
    </xf>
    <xf numFmtId="166" fontId="5" fillId="0" borderId="8" xfId="3" applyNumberFormat="1" applyBorder="1" applyAlignment="1">
      <alignment horizontal="center"/>
    </xf>
    <xf numFmtId="0" fontId="6" fillId="0" borderId="0" xfId="3" applyFont="1"/>
    <xf numFmtId="0" fontId="7" fillId="0" borderId="0" xfId="3" applyFont="1"/>
    <xf numFmtId="0" fontId="6" fillId="0" borderId="0" xfId="3" applyFont="1" applyAlignment="1">
      <alignment wrapText="1"/>
    </xf>
    <xf numFmtId="0" fontId="8" fillId="0" borderId="0" xfId="3" applyFont="1" applyAlignment="1">
      <alignment wrapText="1"/>
    </xf>
    <xf numFmtId="0" fontId="9" fillId="0" borderId="0" xfId="3" applyFont="1" applyAlignment="1">
      <alignment wrapText="1"/>
    </xf>
    <xf numFmtId="173" fontId="5" fillId="0" borderId="0" xfId="3" applyNumberFormat="1"/>
    <xf numFmtId="172" fontId="10" fillId="0" borderId="0" xfId="4" applyNumberFormat="1" applyFont="1" applyBorder="1" applyAlignment="1" applyProtection="1"/>
    <xf numFmtId="0" fontId="5" fillId="0" borderId="0" xfId="3" applyFont="1" applyAlignment="1">
      <alignment wrapText="1"/>
    </xf>
    <xf numFmtId="166" fontId="5" fillId="0" borderId="0" xfId="3" applyNumberFormat="1"/>
    <xf numFmtId="10" fontId="6" fillId="0" borderId="0" xfId="3" applyNumberFormat="1" applyFont="1"/>
    <xf numFmtId="0" fontId="5" fillId="0" borderId="0" xfId="3" applyFont="1" applyAlignment="1">
      <alignment horizontal="center"/>
    </xf>
    <xf numFmtId="172" fontId="0" fillId="0" borderId="0" xfId="4" applyNumberFormat="1" applyFont="1" applyBorder="1" applyAlignment="1" applyProtection="1">
      <alignment horizontal="center"/>
    </xf>
    <xf numFmtId="0" fontId="5" fillId="0" borderId="0" xfId="3" applyAlignment="1">
      <alignment horizontal="left"/>
    </xf>
    <xf numFmtId="0" fontId="7" fillId="0" borderId="0" xfId="3" applyFont="1" applyAlignment="1">
      <alignment horizontal="left"/>
    </xf>
    <xf numFmtId="174" fontId="5" fillId="0" borderId="0" xfId="3" applyNumberFormat="1"/>
    <xf numFmtId="172" fontId="0" fillId="3" borderId="0" xfId="4" applyNumberFormat="1" applyFont="1" applyFill="1" applyBorder="1" applyAlignment="1" applyProtection="1"/>
    <xf numFmtId="167" fontId="0" fillId="3" borderId="0" xfId="4" applyNumberFormat="1" applyFont="1" applyFill="1" applyBorder="1" applyAlignment="1" applyProtection="1"/>
    <xf numFmtId="0" fontId="13" fillId="0" borderId="0" xfId="3" applyFont="1"/>
    <xf numFmtId="0" fontId="2" fillId="3" borderId="0" xfId="0" applyFont="1" applyFill="1"/>
    <xf numFmtId="167" fontId="0" fillId="3" borderId="0" xfId="0" applyNumberFormat="1" applyFill="1"/>
    <xf numFmtId="0" fontId="5" fillId="0" borderId="0" xfId="3" applyFont="1" applyBorder="1" applyAlignment="1">
      <alignment horizontal="left" wrapText="1"/>
    </xf>
    <xf numFmtId="0" fontId="5" fillId="0" borderId="0" xfId="3" applyFont="1" applyAlignment="1">
      <alignment horizontal="left" wrapText="1"/>
    </xf>
    <xf numFmtId="0" fontId="15" fillId="0" borderId="0" xfId="3" applyFont="1" applyBorder="1" applyAlignment="1">
      <alignment horizontal="left" wrapText="1"/>
    </xf>
  </cellXfs>
  <cellStyles count="5">
    <cellStyle name="Comma" xfId="1" builtinId="3"/>
    <cellStyle name="Comma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en-US" sz="1400" b="0" i="0" u="none" strike="noStrike" kern="1200" spc="-1" baseline="0">
                <a:solidFill>
                  <a:srgbClr val="595959"/>
                </a:solidFill>
                <a:latin typeface="Calibri" panose="020F0502020204030204"/>
                <a:ea typeface="+mn-ea"/>
                <a:cs typeface="+mn-cs"/>
              </a:defRPr>
            </a:pPr>
            <a:r>
              <a:rPr lang="en-US" sz="1400" b="0" strike="noStrike" spc="-1">
                <a:solidFill>
                  <a:srgbClr val="595959"/>
                </a:solidFill>
                <a:latin typeface="Calibri" panose="020F0502020204030204"/>
              </a:rPr>
              <a:t>Reserves</a:t>
            </a:r>
          </a:p>
        </c:rich>
      </c:tx>
      <c:layout/>
      <c:overlay val="0"/>
      <c:spPr>
        <a:noFill/>
        <a:ln>
          <a:noFill/>
        </a:ln>
      </c:spPr>
    </c:title>
    <c:autoTitleDeleted val="0"/>
    <c:plotArea>
      <c:layout>
        <c:manualLayout>
          <c:layoutTarget val="inner"/>
          <c:xMode val="edge"/>
          <c:yMode val="edge"/>
          <c:x val="0.193659596792326"/>
          <c:y val="0.17646258503401399"/>
          <c:w val="0.61875140523120697"/>
          <c:h val="0.60693877551020403"/>
        </c:manualLayout>
      </c:layout>
      <c:lineChart>
        <c:grouping val="standard"/>
        <c:varyColors val="0"/>
        <c:ser>
          <c:idx val="0"/>
          <c:order val="0"/>
          <c:tx>
            <c:strRef>
              <c:f>'Q1 (ii)'!$B$1</c:f>
              <c:strCache>
                <c:ptCount val="1"/>
                <c:pt idx="0">
                  <c:v>Reserves</c:v>
                </c:pt>
              </c:strCache>
            </c:strRef>
          </c:tx>
          <c:spPr>
            <a:ln w="28440" cap="rnd" cmpd="sng" algn="ctr">
              <a:solidFill>
                <a:srgbClr val="4F81BD"/>
              </a:solidFill>
              <a:prstDash val="solid"/>
              <a:round/>
            </a:ln>
          </c:spPr>
          <c:marker>
            <c:symbol val="none"/>
          </c:marker>
          <c:dLbls>
            <c:spPr>
              <a:noFill/>
              <a:ln>
                <a:noFill/>
              </a:ln>
              <a:effectLst/>
            </c:spPr>
            <c:txPr>
              <a:bodyPr rot="0" spcFirstLastPara="0" vertOverflow="ellipsis" vert="horz" wrap="square" lIns="38100" tIns="19050" rIns="38100" bIns="19050" anchor="ctr" anchorCtr="1"/>
              <a:lstStyle/>
              <a:p>
                <a:pPr>
                  <a:defRPr lang="en-US" sz="1000" b="0" i="0" u="none" strike="noStrike" kern="1200" spc="-1" baseline="0">
                    <a:solidFill>
                      <a:srgbClr val="000000"/>
                    </a:solidFill>
                    <a:latin typeface="Calibri" panose="020F0502020204030204"/>
                    <a:ea typeface="+mn-ea"/>
                    <a:cs typeface="+mn-cs"/>
                  </a:defRPr>
                </a:pPr>
                <a:endParaRPr lang="en-US"/>
              </a:p>
            </c:txPr>
            <c:dLblPos val="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val>
            <c:numRef>
              <c:f>'Q1 (ii)'!$B$2:$B$17</c:f>
              <c:numCache>
                <c:formatCode>_ * #,##0_ ;_ * \-#,##0_ ;_ * \-??_ ;_ @_ </c:formatCode>
                <c:ptCount val="16"/>
                <c:pt idx="0">
                  <c:v>0</c:v>
                </c:pt>
                <c:pt idx="1">
                  <c:v>41600</c:v>
                </c:pt>
                <c:pt idx="2">
                  <c:v>83200</c:v>
                </c:pt>
                <c:pt idx="3">
                  <c:v>124800.00000000001</c:v>
                </c:pt>
                <c:pt idx="4">
                  <c:v>166400</c:v>
                </c:pt>
                <c:pt idx="5">
                  <c:v>208000</c:v>
                </c:pt>
                <c:pt idx="6">
                  <c:v>249600.00000000003</c:v>
                </c:pt>
                <c:pt idx="7">
                  <c:v>291200</c:v>
                </c:pt>
                <c:pt idx="8">
                  <c:v>332800</c:v>
                </c:pt>
                <c:pt idx="9">
                  <c:v>374399.99999999994</c:v>
                </c:pt>
                <c:pt idx="10">
                  <c:v>312000</c:v>
                </c:pt>
                <c:pt idx="11">
                  <c:v>249600</c:v>
                </c:pt>
                <c:pt idx="12">
                  <c:v>187199.99999999997</c:v>
                </c:pt>
                <c:pt idx="13">
                  <c:v>124800</c:v>
                </c:pt>
                <c:pt idx="14">
                  <c:v>62400</c:v>
                </c:pt>
                <c:pt idx="15">
                  <c:v>0</c:v>
                </c:pt>
              </c:numCache>
            </c:numRef>
          </c:val>
          <c:smooth val="0"/>
          <c:extLst xmlns:c16r2="http://schemas.microsoft.com/office/drawing/2015/06/chart">
            <c:ext xmlns:c16="http://schemas.microsoft.com/office/drawing/2014/chart" uri="{C3380CC4-5D6E-409C-BE32-E72D297353CC}">
              <c16:uniqueId val="{00000000-ADEC-4070-9C68-B0A57F11F613}"/>
            </c:ext>
          </c:extLst>
        </c:ser>
        <c:dLbls>
          <c:showLegendKey val="0"/>
          <c:showVal val="0"/>
          <c:showCatName val="0"/>
          <c:showSerName val="0"/>
          <c:showPercent val="0"/>
          <c:showBubbleSize val="1"/>
        </c:dLbls>
        <c:hiLowLines>
          <c:spPr>
            <a:ln w="6350" cap="flat" cmpd="sng" algn="ctr">
              <a:noFill/>
              <a:prstDash val="solid"/>
              <a:round/>
            </a:ln>
          </c:spPr>
        </c:hiLowLines>
        <c:smooth val="0"/>
        <c:axId val="1671516112"/>
        <c:axId val="1671506320"/>
      </c:lineChart>
      <c:catAx>
        <c:axId val="1671516112"/>
        <c:scaling>
          <c:orientation val="minMax"/>
        </c:scaling>
        <c:delete val="0"/>
        <c:axPos val="b"/>
        <c:title>
          <c:tx>
            <c:rich>
              <a:bodyPr rot="0" spcFirstLastPara="0" vertOverflow="ellipsis" vert="horz" wrap="square" anchor="ctr" anchorCtr="1"/>
              <a:lstStyle/>
              <a:p>
                <a:pPr>
                  <a:defRPr lang="en-IN" sz="1000" b="0" i="0" u="none" strike="noStrike" kern="1200" spc="-1" baseline="0">
                    <a:solidFill>
                      <a:srgbClr val="595959"/>
                    </a:solidFill>
                    <a:latin typeface="Calibri" panose="020F0502020204030204"/>
                    <a:ea typeface="+mn-ea"/>
                    <a:cs typeface="+mn-cs"/>
                  </a:defRPr>
                </a:pPr>
                <a:r>
                  <a:rPr lang="en-IN" sz="1000" b="0" strike="noStrike" spc="-1">
                    <a:solidFill>
                      <a:srgbClr val="595959"/>
                    </a:solidFill>
                    <a:latin typeface="Calibri" panose="020F0502020204030204"/>
                  </a:rPr>
                  <a:t>Time</a:t>
                </a:r>
              </a:p>
            </c:rich>
          </c:tx>
          <c:layout/>
          <c:overlay val="0"/>
          <c:spPr>
            <a:noFill/>
            <a:ln>
              <a:noFill/>
            </a:ln>
          </c:spPr>
        </c:title>
        <c:numFmt formatCode="General" sourceLinked="1"/>
        <c:majorTickMark val="none"/>
        <c:minorTickMark val="none"/>
        <c:tickLblPos val="nextTo"/>
        <c:spPr>
          <a:ln w="9360" cap="flat" cmpd="sng" algn="ctr">
            <a:solidFill>
              <a:srgbClr val="D9D9D9"/>
            </a:solidFill>
            <a:prstDash val="solid"/>
            <a:round/>
          </a:ln>
        </c:spPr>
        <c:txPr>
          <a:bodyPr rot="-60000000" spcFirstLastPara="0" vertOverflow="ellipsis" vert="horz" wrap="square" anchor="ctr" anchorCtr="1"/>
          <a:lstStyle/>
          <a:p>
            <a:pPr>
              <a:defRPr lang="en-US" sz="900" b="0" i="0" u="none" strike="noStrike" kern="1200" spc="-1" baseline="0">
                <a:solidFill>
                  <a:srgbClr val="595959"/>
                </a:solidFill>
                <a:latin typeface="Calibri" panose="020F0502020204030204"/>
                <a:ea typeface="+mn-ea"/>
                <a:cs typeface="+mn-cs"/>
              </a:defRPr>
            </a:pPr>
            <a:endParaRPr lang="en-US"/>
          </a:p>
        </c:txPr>
        <c:crossAx val="1671506320"/>
        <c:crosses val="autoZero"/>
        <c:auto val="1"/>
        <c:lblAlgn val="ctr"/>
        <c:lblOffset val="100"/>
        <c:noMultiLvlLbl val="0"/>
      </c:catAx>
      <c:valAx>
        <c:axId val="1671506320"/>
        <c:scaling>
          <c:orientation val="minMax"/>
        </c:scaling>
        <c:delete val="0"/>
        <c:axPos val="l"/>
        <c:majorGridlines>
          <c:spPr>
            <a:ln w="9360" cap="flat" cmpd="sng" algn="ctr">
              <a:solidFill>
                <a:srgbClr val="D9D9D9"/>
              </a:solidFill>
              <a:prstDash val="solid"/>
              <a:round/>
            </a:ln>
          </c:spPr>
        </c:majorGridlines>
        <c:title>
          <c:tx>
            <c:rich>
              <a:bodyPr rot="-5400000" spcFirstLastPara="0" vertOverflow="ellipsis" vert="horz" wrap="square" anchor="ctr" anchorCtr="1"/>
              <a:lstStyle/>
              <a:p>
                <a:pPr>
                  <a:defRPr lang="en-US" sz="1000" b="0" i="0" u="none" strike="noStrike" kern="1200" spc="-1" baseline="0">
                    <a:solidFill>
                      <a:srgbClr val="595959"/>
                    </a:solidFill>
                    <a:latin typeface="Calibri" panose="020F0502020204030204"/>
                    <a:ea typeface="+mn-ea"/>
                    <a:cs typeface="+mn-cs"/>
                  </a:defRPr>
                </a:pPr>
                <a:r>
                  <a:rPr lang="en-US" sz="1000" b="0" strike="noStrike" spc="-1">
                    <a:solidFill>
                      <a:srgbClr val="595959"/>
                    </a:solidFill>
                    <a:latin typeface="Calibri" panose="020F0502020204030204"/>
                  </a:rPr>
                  <a:t>Amount</a:t>
                </a:r>
              </a:p>
            </c:rich>
          </c:tx>
          <c:layout/>
          <c:overlay val="0"/>
          <c:spPr>
            <a:noFill/>
            <a:ln>
              <a:noFill/>
            </a:ln>
          </c:spPr>
        </c:title>
        <c:numFmt formatCode="_ * #,##0_ ;_ * \-#,##0_ ;_ * \-??_ ;_ @_ " sourceLinked="0"/>
        <c:majorTickMark val="none"/>
        <c:minorTickMark val="none"/>
        <c:tickLblPos val="nextTo"/>
        <c:spPr>
          <a:ln w="9360" cap="flat" cmpd="sng" algn="ctr">
            <a:noFill/>
            <a:prstDash val="solid"/>
            <a:round/>
          </a:ln>
        </c:spPr>
        <c:txPr>
          <a:bodyPr rot="-60000000" spcFirstLastPara="0" vertOverflow="ellipsis" vert="horz" wrap="square" anchor="ctr" anchorCtr="1"/>
          <a:lstStyle/>
          <a:p>
            <a:pPr>
              <a:defRPr lang="en-US" sz="900" b="0" i="0" u="none" strike="noStrike" kern="1200" spc="-1" baseline="0">
                <a:solidFill>
                  <a:srgbClr val="595959"/>
                </a:solidFill>
                <a:latin typeface="Calibri" panose="020F0502020204030204"/>
                <a:ea typeface="+mn-ea"/>
                <a:cs typeface="+mn-cs"/>
              </a:defRPr>
            </a:pPr>
            <a:endParaRPr lang="en-US"/>
          </a:p>
        </c:txPr>
        <c:crossAx val="1671516112"/>
        <c:crosses val="autoZero"/>
        <c:crossBetween val="between"/>
      </c:valAx>
      <c:spPr>
        <a:noFill/>
        <a:ln>
          <a:noFill/>
        </a:ln>
      </c:spPr>
    </c:plotArea>
    <c:legend>
      <c:legendPos val="b"/>
      <c:layout>
        <c:manualLayout>
          <c:xMode val="edge"/>
          <c:yMode val="edge"/>
          <c:x val="0.80006944444444394"/>
          <c:y val="0.29296424452133801"/>
        </c:manualLayout>
      </c:layout>
      <c:overlay val="0"/>
      <c:spPr>
        <a:noFill/>
        <a:ln>
          <a:noFill/>
        </a:ln>
      </c:spPr>
      <c:txPr>
        <a:bodyPr rot="0" spcFirstLastPara="0" vertOverflow="ellipsis" vert="horz" wrap="square" anchor="ctr" anchorCtr="1"/>
        <a:lstStyle/>
        <a:p>
          <a:pPr>
            <a:defRPr lang="en-US" sz="900" b="0" i="0" u="none" strike="noStrike" kern="1200" spc="-1" baseline="0">
              <a:solidFill>
                <a:srgbClr val="595959"/>
              </a:solidFill>
              <a:latin typeface="Calibri" panose="020F0502020204030204"/>
              <a:ea typeface="+mn-ea"/>
              <a:cs typeface="+mn-cs"/>
            </a:defRPr>
          </a:pPr>
          <a:endParaRPr lang="en-US"/>
        </a:p>
      </c:txPr>
    </c:legend>
    <c:plotVisOnly val="1"/>
    <c:dispBlanksAs val="gap"/>
    <c:showDLblsOverMax val="0"/>
  </c:chart>
  <c:spPr>
    <a:solidFill>
      <a:srgbClr val="FFFFFF"/>
    </a:solidFill>
    <a:ln w="9360" cap="flat" cmpd="sng" algn="ctr">
      <a:solidFill>
        <a:srgbClr val="D9D9D9"/>
      </a:solidFill>
      <a:prstDash val="solid"/>
      <a:round/>
    </a:ln>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162000</xdr:colOff>
      <xdr:row>1</xdr:row>
      <xdr:rowOff>25560</xdr:rowOff>
    </xdr:from>
    <xdr:to>
      <xdr:col>13</xdr:col>
      <xdr:colOff>466560</xdr:colOff>
      <xdr:row>15</xdr:row>
      <xdr:rowOff>110880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55"/>
  <sheetViews>
    <sheetView tabSelected="1" workbookViewId="0">
      <selection activeCell="B8" sqref="B8"/>
    </sheetView>
  </sheetViews>
  <sheetFormatPr defaultColWidth="9" defaultRowHeight="15"/>
  <cols>
    <col min="1" max="1" width="28.140625" style="33" customWidth="1"/>
    <col min="2" max="2" width="10.5703125" style="33" customWidth="1"/>
    <col min="3" max="8" width="9" style="33"/>
    <col min="9" max="9" width="9.140625" style="33" customWidth="1"/>
    <col min="10" max="16384" width="9" style="33"/>
  </cols>
  <sheetData>
    <row r="1" spans="1:2">
      <c r="A1" s="33" t="s">
        <v>62</v>
      </c>
      <c r="B1" s="34">
        <v>5000000</v>
      </c>
    </row>
    <row r="2" spans="1:2">
      <c r="A2" s="33" t="s">
        <v>63</v>
      </c>
      <c r="B2" s="34">
        <v>52000</v>
      </c>
    </row>
    <row r="3" spans="1:2">
      <c r="A3" s="33" t="s">
        <v>0</v>
      </c>
      <c r="B3" s="34">
        <v>50</v>
      </c>
    </row>
    <row r="4" spans="1:2">
      <c r="A4" s="33" t="s">
        <v>64</v>
      </c>
      <c r="B4" s="33">
        <v>15</v>
      </c>
    </row>
    <row r="5" spans="1:2">
      <c r="A5" s="33" t="s">
        <v>65</v>
      </c>
      <c r="B5" s="33">
        <v>15</v>
      </c>
    </row>
    <row r="6" spans="1:2">
      <c r="A6" s="33" t="s">
        <v>66</v>
      </c>
      <c r="B6" s="34">
        <v>3000</v>
      </c>
    </row>
    <row r="7" spans="1:2">
      <c r="A7" s="33" t="s">
        <v>67</v>
      </c>
      <c r="B7" s="34">
        <v>500</v>
      </c>
    </row>
    <row r="8" spans="1:2">
      <c r="A8" s="33" t="s">
        <v>68</v>
      </c>
      <c r="B8" s="35">
        <v>7.0000000000000007E-2</v>
      </c>
    </row>
    <row r="9" spans="1:2">
      <c r="A9" s="33" t="s">
        <v>69</v>
      </c>
      <c r="B9" s="35">
        <f>B8+1%</f>
        <v>0.08</v>
      </c>
    </row>
    <row r="10" spans="1:2">
      <c r="A10" s="33" t="s">
        <v>70</v>
      </c>
      <c r="B10" s="35">
        <f>+B8-1%</f>
        <v>6.0000000000000005E-2</v>
      </c>
    </row>
    <row r="11" spans="1:2">
      <c r="B11" s="35"/>
    </row>
    <row r="12" spans="1:2" ht="15.75" thickBot="1">
      <c r="A12" s="33" t="s">
        <v>71</v>
      </c>
      <c r="B12" s="35"/>
    </row>
    <row r="13" spans="1:2" ht="15.75" thickBot="1">
      <c r="A13" s="36" t="s">
        <v>0</v>
      </c>
      <c r="B13" s="37" t="s">
        <v>72</v>
      </c>
    </row>
    <row r="14" spans="1:2">
      <c r="A14" s="38">
        <v>50</v>
      </c>
      <c r="B14" s="39">
        <v>0.02</v>
      </c>
    </row>
    <row r="15" spans="1:2" ht="15.75" thickBot="1">
      <c r="A15" s="40">
        <v>60</v>
      </c>
      <c r="B15" s="41">
        <v>-0.01</v>
      </c>
    </row>
    <row r="16" spans="1:2" ht="15.75" thickBot="1"/>
    <row r="17" spans="1:2" ht="15.75" thickBot="1">
      <c r="A17" s="36" t="s">
        <v>73</v>
      </c>
      <c r="B17" s="37" t="s">
        <v>72</v>
      </c>
    </row>
    <row r="18" spans="1:2">
      <c r="A18" s="38">
        <v>1</v>
      </c>
      <c r="B18" s="39">
        <v>0.35</v>
      </c>
    </row>
    <row r="19" spans="1:2">
      <c r="A19" s="42">
        <v>2</v>
      </c>
      <c r="B19" s="43">
        <v>0.05</v>
      </c>
    </row>
    <row r="20" spans="1:2">
      <c r="A20" s="42">
        <v>3</v>
      </c>
      <c r="B20" s="43">
        <v>0.05</v>
      </c>
    </row>
    <row r="21" spans="1:2" ht="15.75" thickBot="1">
      <c r="A21" s="40">
        <v>4</v>
      </c>
      <c r="B21" s="41">
        <v>0.03</v>
      </c>
    </row>
    <row r="23" spans="1:2" ht="15.75" thickBot="1"/>
    <row r="24" spans="1:2" ht="15.75" thickBot="1">
      <c r="A24" s="36" t="s">
        <v>0</v>
      </c>
      <c r="B24" s="37" t="s">
        <v>1</v>
      </c>
    </row>
    <row r="25" spans="1:2">
      <c r="A25" s="38">
        <v>40</v>
      </c>
      <c r="B25" s="44">
        <v>9.3700000000000001E-4</v>
      </c>
    </row>
    <row r="26" spans="1:2">
      <c r="A26" s="42">
        <v>41</v>
      </c>
      <c r="B26" s="45">
        <v>1.0139999999999999E-3</v>
      </c>
    </row>
    <row r="27" spans="1:2">
      <c r="A27" s="42">
        <v>42</v>
      </c>
      <c r="B27" s="45">
        <v>1.1039999999999999E-3</v>
      </c>
    </row>
    <row r="28" spans="1:2">
      <c r="A28" s="42">
        <v>43</v>
      </c>
      <c r="B28" s="45">
        <v>1.2080000000000001E-3</v>
      </c>
    </row>
    <row r="29" spans="1:2">
      <c r="A29" s="42">
        <v>44</v>
      </c>
      <c r="B29" s="45">
        <v>1.3270000000000001E-3</v>
      </c>
    </row>
    <row r="30" spans="1:2">
      <c r="A30" s="42">
        <v>45</v>
      </c>
      <c r="B30" s="45">
        <v>1.4649999999999999E-3</v>
      </c>
    </row>
    <row r="31" spans="1:2">
      <c r="A31" s="42">
        <v>46</v>
      </c>
      <c r="B31" s="45">
        <v>1.622E-3</v>
      </c>
    </row>
    <row r="32" spans="1:2">
      <c r="A32" s="42">
        <v>47</v>
      </c>
      <c r="B32" s="45">
        <v>1.802E-3</v>
      </c>
    </row>
    <row r="33" spans="1:2">
      <c r="A33" s="42">
        <v>48</v>
      </c>
      <c r="B33" s="45">
        <v>2.0079999999999998E-3</v>
      </c>
    </row>
    <row r="34" spans="1:2">
      <c r="A34" s="42">
        <v>49</v>
      </c>
      <c r="B34" s="45">
        <v>2.2409999999999999E-3</v>
      </c>
    </row>
    <row r="35" spans="1:2">
      <c r="A35" s="42">
        <v>50</v>
      </c>
      <c r="B35" s="45">
        <v>2.5079999999999998E-3</v>
      </c>
    </row>
    <row r="36" spans="1:2">
      <c r="A36" s="42">
        <v>51</v>
      </c>
      <c r="B36" s="45">
        <v>2.8089999999999999E-3</v>
      </c>
    </row>
    <row r="37" spans="1:2">
      <c r="A37" s="42">
        <v>52</v>
      </c>
      <c r="B37" s="45">
        <v>3.1519999999999999E-3</v>
      </c>
    </row>
    <row r="38" spans="1:2">
      <c r="A38" s="42">
        <v>53</v>
      </c>
      <c r="B38" s="45">
        <v>3.539E-3</v>
      </c>
    </row>
    <row r="39" spans="1:2">
      <c r="A39" s="42">
        <v>54</v>
      </c>
      <c r="B39" s="45">
        <v>3.9760000000000004E-3</v>
      </c>
    </row>
    <row r="40" spans="1:2">
      <c r="A40" s="42">
        <v>55</v>
      </c>
      <c r="B40" s="45">
        <v>4.4689999999999999E-3</v>
      </c>
    </row>
    <row r="41" spans="1:2">
      <c r="A41" s="42">
        <v>56</v>
      </c>
      <c r="B41" s="45">
        <v>5.025E-3</v>
      </c>
    </row>
    <row r="42" spans="1:2">
      <c r="A42" s="42">
        <v>57</v>
      </c>
      <c r="B42" s="45">
        <v>5.6499999999999996E-3</v>
      </c>
    </row>
    <row r="43" spans="1:2">
      <c r="A43" s="42">
        <v>58</v>
      </c>
      <c r="B43" s="45">
        <v>6.352E-3</v>
      </c>
    </row>
    <row r="44" spans="1:2">
      <c r="A44" s="42">
        <v>59</v>
      </c>
      <c r="B44" s="45">
        <v>7.1399999999999996E-3</v>
      </c>
    </row>
    <row r="45" spans="1:2">
      <c r="A45" s="42">
        <v>60</v>
      </c>
      <c r="B45" s="45">
        <v>8.0219999999999996E-3</v>
      </c>
    </row>
    <row r="46" spans="1:2">
      <c r="A46" s="42">
        <v>61</v>
      </c>
      <c r="B46" s="45">
        <v>9.0089999999999996E-3</v>
      </c>
    </row>
    <row r="47" spans="1:2">
      <c r="A47" s="42">
        <v>62</v>
      </c>
      <c r="B47" s="45">
        <v>1.0111999999999999E-2</v>
      </c>
    </row>
    <row r="48" spans="1:2">
      <c r="A48" s="42">
        <v>63</v>
      </c>
      <c r="B48" s="45">
        <v>1.1344E-2</v>
      </c>
    </row>
    <row r="49" spans="1:2">
      <c r="A49" s="42">
        <v>64</v>
      </c>
      <c r="B49" s="45">
        <v>1.2716E-2</v>
      </c>
    </row>
    <row r="50" spans="1:2">
      <c r="A50" s="42">
        <v>65</v>
      </c>
      <c r="B50" s="45">
        <v>1.4243E-2</v>
      </c>
    </row>
    <row r="51" spans="1:2">
      <c r="A51" s="42">
        <v>66</v>
      </c>
      <c r="B51" s="45">
        <v>1.5939999999999999E-2</v>
      </c>
    </row>
    <row r="52" spans="1:2">
      <c r="A52" s="42">
        <v>67</v>
      </c>
      <c r="B52" s="45">
        <v>1.7824E-2</v>
      </c>
    </row>
    <row r="53" spans="1:2">
      <c r="A53" s="42">
        <v>68</v>
      </c>
      <c r="B53" s="45">
        <v>1.9913E-2</v>
      </c>
    </row>
    <row r="54" spans="1:2">
      <c r="A54" s="42">
        <v>69</v>
      </c>
      <c r="B54" s="45">
        <v>2.2225999999999999E-2</v>
      </c>
    </row>
    <row r="55" spans="1:2" ht="15.75" thickBot="1">
      <c r="A55" s="40">
        <v>70</v>
      </c>
      <c r="B55" s="46">
        <v>2.4782999999999999E-2</v>
      </c>
    </row>
  </sheetData>
  <pageMargins left="0.7" right="0.7" top="0.75" bottom="0.75" header="0.51180555555555496" footer="0.51180555555555496"/>
  <pageSetup paperSize="9" firstPageNumber="0" orientation="portrait" useFirstPageNumber="1"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33"/>
  <sheetViews>
    <sheetView workbookViewId="0">
      <selection activeCell="P3" sqref="P3"/>
    </sheetView>
  </sheetViews>
  <sheetFormatPr defaultRowHeight="15"/>
  <cols>
    <col min="1" max="1" width="7.140625" customWidth="1"/>
    <col min="2" max="2" width="11.140625" customWidth="1"/>
  </cols>
  <sheetData>
    <row r="1" spans="1:2" ht="15.75" thickBot="1"/>
    <row r="2" spans="1:2" ht="15.75" thickBot="1">
      <c r="A2" s="1" t="s">
        <v>0</v>
      </c>
      <c r="B2" s="2" t="s">
        <v>1</v>
      </c>
    </row>
    <row r="3" spans="1:2">
      <c r="A3" s="3">
        <v>25</v>
      </c>
      <c r="B3" s="4">
        <v>4.35E-4</v>
      </c>
    </row>
    <row r="4" spans="1:2">
      <c r="A4" s="5">
        <v>26</v>
      </c>
      <c r="B4" s="6">
        <v>4.4000000000000002E-4</v>
      </c>
    </row>
    <row r="5" spans="1:2">
      <c r="A5" s="5">
        <v>27</v>
      </c>
      <c r="B5" s="6">
        <v>4.4700000000000002E-4</v>
      </c>
    </row>
    <row r="6" spans="1:2">
      <c r="A6" s="5">
        <v>28</v>
      </c>
      <c r="B6" s="6">
        <v>4.55E-4</v>
      </c>
    </row>
    <row r="7" spans="1:2">
      <c r="A7" s="5">
        <v>29</v>
      </c>
      <c r="B7" s="6">
        <v>4.6500000000000003E-4</v>
      </c>
    </row>
    <row r="8" spans="1:2">
      <c r="A8" s="5">
        <v>30</v>
      </c>
      <c r="B8" s="6">
        <v>4.7600000000000002E-4</v>
      </c>
    </row>
    <row r="9" spans="1:2">
      <c r="A9" s="5">
        <v>31</v>
      </c>
      <c r="B9" s="6">
        <v>4.8999999999999998E-4</v>
      </c>
    </row>
    <row r="10" spans="1:2">
      <c r="A10" s="5">
        <v>32</v>
      </c>
      <c r="B10" s="6">
        <v>5.0699999999999996E-4</v>
      </c>
    </row>
    <row r="11" spans="1:2">
      <c r="A11" s="5">
        <v>33</v>
      </c>
      <c r="B11" s="6">
        <v>5.2700000000000002E-4</v>
      </c>
    </row>
    <row r="12" spans="1:2">
      <c r="A12" s="5">
        <v>34</v>
      </c>
      <c r="B12" s="6">
        <v>5.5000000000000003E-4</v>
      </c>
    </row>
    <row r="13" spans="1:2">
      <c r="A13" s="5">
        <v>35</v>
      </c>
      <c r="B13" s="6">
        <v>5.7700000000000004E-4</v>
      </c>
    </row>
    <row r="14" spans="1:2">
      <c r="A14" s="5">
        <v>36</v>
      </c>
      <c r="B14" s="6">
        <v>6.0800000000000003E-4</v>
      </c>
    </row>
    <row r="15" spans="1:2">
      <c r="A15" s="5">
        <v>37</v>
      </c>
      <c r="B15" s="6">
        <v>6.4400000000000004E-4</v>
      </c>
    </row>
    <row r="16" spans="1:2">
      <c r="A16" s="5">
        <v>38</v>
      </c>
      <c r="B16" s="6">
        <v>6.8499999999999995E-4</v>
      </c>
    </row>
    <row r="17" spans="1:2">
      <c r="A17" s="5">
        <v>39</v>
      </c>
      <c r="B17" s="6">
        <v>7.3300000000000004E-4</v>
      </c>
    </row>
    <row r="18" spans="1:2">
      <c r="A18" s="5">
        <v>40</v>
      </c>
      <c r="B18" s="6">
        <v>7.8799999999999996E-4</v>
      </c>
    </row>
    <row r="19" spans="1:2">
      <c r="A19" s="5">
        <v>41</v>
      </c>
      <c r="B19" s="6">
        <v>8.5099999999999998E-4</v>
      </c>
    </row>
    <row r="20" spans="1:2">
      <c r="A20" s="5">
        <v>42</v>
      </c>
      <c r="B20" s="6">
        <v>9.2199999999999997E-4</v>
      </c>
    </row>
    <row r="21" spans="1:2">
      <c r="A21" s="5">
        <v>43</v>
      </c>
      <c r="B21" s="6">
        <v>1.003E-3</v>
      </c>
    </row>
    <row r="22" spans="1:2">
      <c r="A22" s="5">
        <v>44</v>
      </c>
      <c r="B22" s="6">
        <v>1.096E-3</v>
      </c>
    </row>
    <row r="23" spans="1:2">
      <c r="A23" s="5">
        <v>45</v>
      </c>
      <c r="B23" s="6">
        <v>1.201E-3</v>
      </c>
    </row>
    <row r="24" spans="1:2">
      <c r="A24" s="5">
        <v>46</v>
      </c>
      <c r="B24" s="6">
        <v>1.32E-3</v>
      </c>
    </row>
    <row r="25" spans="1:2">
      <c r="A25" s="5">
        <v>47</v>
      </c>
      <c r="B25" s="6">
        <v>1.4549999999999999E-3</v>
      </c>
    </row>
    <row r="26" spans="1:2">
      <c r="A26" s="5">
        <v>48</v>
      </c>
      <c r="B26" s="6">
        <v>1.6069999999999999E-3</v>
      </c>
    </row>
    <row r="27" spans="1:2">
      <c r="A27" s="5">
        <v>49</v>
      </c>
      <c r="B27" s="6">
        <v>1.7780000000000001E-3</v>
      </c>
    </row>
    <row r="28" spans="1:2">
      <c r="A28" s="5">
        <v>50</v>
      </c>
      <c r="B28" s="6">
        <v>1.9710000000000001E-3</v>
      </c>
    </row>
    <row r="29" spans="1:2">
      <c r="A29" s="5"/>
      <c r="B29" s="6"/>
    </row>
    <row r="30" spans="1:2">
      <c r="A30" s="5"/>
      <c r="B30" s="6"/>
    </row>
    <row r="31" spans="1:2">
      <c r="A31" s="5"/>
      <c r="B31" s="6"/>
    </row>
    <row r="32" spans="1:2">
      <c r="A32" s="5"/>
      <c r="B32" s="6"/>
    </row>
    <row r="33" spans="1:2" ht="15.75" thickBot="1">
      <c r="A33" s="7"/>
      <c r="B33" s="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W29"/>
  <sheetViews>
    <sheetView zoomScale="80" zoomScaleNormal="80" workbookViewId="0">
      <selection activeCell="A2" sqref="A2"/>
    </sheetView>
  </sheetViews>
  <sheetFormatPr defaultRowHeight="15"/>
  <cols>
    <col min="2" max="2" width="21.28515625" bestFit="1" customWidth="1"/>
    <col min="3" max="3" width="15.7109375" bestFit="1" customWidth="1"/>
    <col min="4" max="4" width="23.28515625" customWidth="1"/>
    <col min="5" max="5" width="18.28515625" customWidth="1"/>
    <col min="6" max="6" width="14.28515625" customWidth="1"/>
    <col min="7" max="7" width="14.7109375" bestFit="1" customWidth="1"/>
    <col min="8" max="8" width="16.7109375" customWidth="1"/>
    <col min="9" max="9" width="18.42578125" customWidth="1"/>
    <col min="10" max="10" width="22.7109375" customWidth="1"/>
    <col min="11" max="11" width="15.7109375" customWidth="1"/>
    <col min="12" max="12" width="12" customWidth="1"/>
    <col min="13" max="13" width="15.85546875" customWidth="1"/>
    <col min="14" max="14" width="15.7109375" customWidth="1"/>
    <col min="15" max="15" width="16.7109375" customWidth="1"/>
    <col min="17" max="17" width="21.140625" customWidth="1"/>
    <col min="18" max="18" width="12.85546875" customWidth="1"/>
    <col min="19" max="19" width="11.28515625" bestFit="1" customWidth="1"/>
    <col min="20" max="20" width="13.140625" customWidth="1"/>
    <col min="21" max="21" width="20.85546875" customWidth="1"/>
    <col min="22" max="22" width="17.7109375" customWidth="1"/>
    <col min="23" max="23" width="13.7109375" customWidth="1"/>
  </cols>
  <sheetData>
    <row r="2" spans="2:22">
      <c r="B2" t="s">
        <v>14</v>
      </c>
      <c r="C2" s="9">
        <v>50000</v>
      </c>
    </row>
    <row r="3" spans="2:22">
      <c r="B3" t="s">
        <v>5</v>
      </c>
      <c r="C3" s="10">
        <f>C2*10</f>
        <v>500000</v>
      </c>
    </row>
    <row r="4" spans="2:22">
      <c r="B4" t="s">
        <v>6</v>
      </c>
      <c r="C4" s="10">
        <f>C2*18</f>
        <v>900000</v>
      </c>
    </row>
    <row r="5" spans="2:22">
      <c r="C5" s="10"/>
    </row>
    <row r="6" spans="2:22">
      <c r="C6" s="10"/>
    </row>
    <row r="7" spans="2:22">
      <c r="B7" t="s">
        <v>9</v>
      </c>
      <c r="C7" s="10">
        <v>500</v>
      </c>
    </row>
    <row r="8" spans="2:22">
      <c r="B8" t="s">
        <v>7</v>
      </c>
      <c r="C8" s="11">
        <v>0.05</v>
      </c>
    </row>
    <row r="9" spans="2:22">
      <c r="C9" s="11"/>
    </row>
    <row r="10" spans="2:22" ht="30">
      <c r="B10" t="s">
        <v>13</v>
      </c>
      <c r="C10" s="16">
        <v>63659.852049780697</v>
      </c>
      <c r="D10" s="31" t="s">
        <v>25</v>
      </c>
      <c r="E10" s="28" t="s">
        <v>24</v>
      </c>
      <c r="F10" s="28" t="s">
        <v>24</v>
      </c>
      <c r="G10" s="28" t="s">
        <v>24</v>
      </c>
      <c r="H10" s="28"/>
      <c r="I10" s="28" t="s">
        <v>24</v>
      </c>
      <c r="J10" s="28"/>
      <c r="K10" s="28" t="s">
        <v>24</v>
      </c>
      <c r="L10" s="28"/>
      <c r="M10" s="28" t="s">
        <v>24</v>
      </c>
      <c r="N10" s="28" t="s">
        <v>24</v>
      </c>
      <c r="O10" s="28" t="s">
        <v>24</v>
      </c>
      <c r="P10" s="28"/>
      <c r="Q10" s="28" t="s">
        <v>23</v>
      </c>
      <c r="R10" s="28" t="s">
        <v>24</v>
      </c>
      <c r="S10" s="28" t="s">
        <v>24</v>
      </c>
      <c r="T10" s="28" t="s">
        <v>24</v>
      </c>
      <c r="U10" s="15"/>
    </row>
    <row r="12" spans="2:22" s="17" customFormat="1" ht="45">
      <c r="B12" s="17" t="s">
        <v>0</v>
      </c>
      <c r="C12" s="17" t="s">
        <v>2</v>
      </c>
      <c r="D12" s="17" t="s">
        <v>3</v>
      </c>
      <c r="E12" s="17" t="s">
        <v>4</v>
      </c>
      <c r="F12" s="17" t="s">
        <v>5</v>
      </c>
      <c r="G12" s="17" t="s">
        <v>8</v>
      </c>
      <c r="I12" s="17" t="s">
        <v>10</v>
      </c>
      <c r="J12" s="17" t="s">
        <v>11</v>
      </c>
      <c r="K12" s="17" t="s">
        <v>12</v>
      </c>
      <c r="M12" s="17" t="s">
        <v>15</v>
      </c>
      <c r="N12" s="17" t="s">
        <v>16</v>
      </c>
      <c r="O12" s="17" t="s">
        <v>17</v>
      </c>
      <c r="Q12" s="17" t="s">
        <v>18</v>
      </c>
      <c r="R12" s="17" t="s">
        <v>19</v>
      </c>
      <c r="S12" s="17" t="s">
        <v>20</v>
      </c>
      <c r="T12" s="17" t="s">
        <v>22</v>
      </c>
      <c r="V12" s="18"/>
    </row>
    <row r="13" spans="2:22">
      <c r="B13">
        <v>30</v>
      </c>
      <c r="C13">
        <v>0</v>
      </c>
      <c r="D13">
        <f>IF(C13&lt;8,1,0)</f>
        <v>1</v>
      </c>
      <c r="E13" s="9">
        <f>$C$2*D13</f>
        <v>50000</v>
      </c>
      <c r="G13">
        <f>IF(C13=15,$C$4,0)</f>
        <v>0</v>
      </c>
      <c r="I13">
        <v>1</v>
      </c>
      <c r="J13" s="12">
        <f>VLOOKUP(B13,Ques_2_Data!$A$3:$B$28,2,FALSE)</f>
        <v>4.7600000000000002E-4</v>
      </c>
      <c r="K13" s="12">
        <f t="shared" ref="K13:K16" si="0">I13*J13</f>
        <v>4.7600000000000002E-4</v>
      </c>
      <c r="M13" s="10">
        <f t="shared" ref="M13:M28" si="1">$C$10*I13*D13</f>
        <v>63659.852049780697</v>
      </c>
      <c r="N13" s="10"/>
      <c r="Q13" s="14">
        <f t="shared" ref="Q13:S18" si="2">M13+Q14/(1+$C$8)</f>
        <v>431305.1493748182</v>
      </c>
      <c r="R13" s="14">
        <f t="shared" si="2"/>
        <v>3409.369149542581</v>
      </c>
      <c r="S13" s="14">
        <f t="shared" si="2"/>
        <v>427895.78022527532</v>
      </c>
      <c r="T13" s="13">
        <f>SUM(R13:S13)-Q13</f>
        <v>0</v>
      </c>
      <c r="U13" t="s">
        <v>21</v>
      </c>
      <c r="V13" s="9"/>
    </row>
    <row r="14" spans="2:22">
      <c r="B14">
        <f>B13+1</f>
        <v>31</v>
      </c>
      <c r="C14">
        <f>C13+1</f>
        <v>1</v>
      </c>
      <c r="D14">
        <f t="shared" ref="D14:D28" si="3">IF(C14&lt;8,1,0)</f>
        <v>1</v>
      </c>
      <c r="E14" s="9">
        <f t="shared" ref="E14:E28" si="4">$C$2*D14</f>
        <v>50000</v>
      </c>
      <c r="F14" s="10">
        <f>$C$3</f>
        <v>500000</v>
      </c>
      <c r="G14" s="10">
        <f t="shared" ref="G14:G28" si="5">IF(C14=15,$C$4,0)</f>
        <v>0</v>
      </c>
      <c r="I14" s="12">
        <f t="shared" ref="I14:I17" si="6">I13-K13</f>
        <v>0.99952399999999997</v>
      </c>
      <c r="J14" s="12">
        <f>VLOOKUP(B14,Ques_2_Data!$A$3:$B$28,2,FALSE)</f>
        <v>4.8999999999999998E-4</v>
      </c>
      <c r="K14" s="12">
        <f t="shared" si="0"/>
        <v>4.8976675999999999E-4</v>
      </c>
      <c r="M14" s="10">
        <f t="shared" si="1"/>
        <v>63629.549960204997</v>
      </c>
      <c r="N14" s="9">
        <f>K13*$C$3</f>
        <v>238</v>
      </c>
      <c r="O14" s="9">
        <f t="shared" ref="O14:O28" si="7">(I14-K14)*G14</f>
        <v>0</v>
      </c>
      <c r="Q14" s="14">
        <f t="shared" si="2"/>
        <v>386027.56219128938</v>
      </c>
      <c r="R14" s="14">
        <f t="shared" si="2"/>
        <v>3579.83760701971</v>
      </c>
      <c r="S14" s="14">
        <f t="shared" si="2"/>
        <v>449290.56923653913</v>
      </c>
      <c r="T14" s="13">
        <f t="shared" ref="T14:T28" si="8">SUM(R14:S14)-Q14</f>
        <v>66842.844652269443</v>
      </c>
      <c r="V14" s="9"/>
    </row>
    <row r="15" spans="2:22">
      <c r="B15">
        <f t="shared" ref="B15:B28" si="9">B14+1</f>
        <v>32</v>
      </c>
      <c r="C15">
        <f t="shared" ref="C15:C28" si="10">C14+1</f>
        <v>2</v>
      </c>
      <c r="D15">
        <f t="shared" si="3"/>
        <v>1</v>
      </c>
      <c r="E15" s="9">
        <f t="shared" si="4"/>
        <v>50000</v>
      </c>
      <c r="F15" s="10">
        <f t="shared" ref="F15:F28" si="11">$C$3</f>
        <v>500000</v>
      </c>
      <c r="G15" s="10">
        <f t="shared" si="5"/>
        <v>0</v>
      </c>
      <c r="I15" s="12">
        <f t="shared" si="6"/>
        <v>0.99903423323999996</v>
      </c>
      <c r="J15" s="12">
        <f>VLOOKUP(B15,Ques_2_Data!$A$3:$B$28,2,FALSE)</f>
        <v>5.0699999999999996E-4</v>
      </c>
      <c r="K15" s="12">
        <f t="shared" si="0"/>
        <v>5.0651035625267997E-4</v>
      </c>
      <c r="M15" s="10">
        <f t="shared" si="1"/>
        <v>63598.371480724498</v>
      </c>
      <c r="N15" s="9">
        <f t="shared" ref="N15:N28" si="12">K14*$C$3</f>
        <v>244.88337999999999</v>
      </c>
      <c r="O15" s="9">
        <f t="shared" si="7"/>
        <v>0</v>
      </c>
      <c r="Q15" s="14">
        <f t="shared" si="2"/>
        <v>338517.91284263862</v>
      </c>
      <c r="R15" s="14">
        <f t="shared" si="2"/>
        <v>3508.9294873706958</v>
      </c>
      <c r="S15" s="14">
        <f t="shared" si="2"/>
        <v>471755.09769836609</v>
      </c>
      <c r="T15" s="13">
        <f t="shared" si="8"/>
        <v>136746.11434309819</v>
      </c>
      <c r="V15" s="9"/>
    </row>
    <row r="16" spans="2:22">
      <c r="B16">
        <f t="shared" si="9"/>
        <v>33</v>
      </c>
      <c r="C16">
        <f t="shared" si="10"/>
        <v>3</v>
      </c>
      <c r="D16">
        <f t="shared" si="3"/>
        <v>1</v>
      </c>
      <c r="E16" s="9">
        <f t="shared" si="4"/>
        <v>50000</v>
      </c>
      <c r="F16" s="10">
        <f t="shared" si="11"/>
        <v>500000</v>
      </c>
      <c r="G16" s="10">
        <f t="shared" si="5"/>
        <v>0</v>
      </c>
      <c r="I16" s="12">
        <f t="shared" si="6"/>
        <v>0.99852772288374725</v>
      </c>
      <c r="J16" s="12">
        <f>VLOOKUP(B16,Ques_2_Data!$A$3:$B$28,2,FALSE)</f>
        <v>5.2700000000000002E-4</v>
      </c>
      <c r="K16" s="12">
        <f t="shared" si="0"/>
        <v>5.2622410995973483E-4</v>
      </c>
      <c r="M16" s="10">
        <f t="shared" si="1"/>
        <v>63566.12710638377</v>
      </c>
      <c r="N16" s="9">
        <f t="shared" si="12"/>
        <v>253.25517812633998</v>
      </c>
      <c r="O16" s="9">
        <f t="shared" si="7"/>
        <v>0</v>
      </c>
      <c r="Q16" s="14">
        <f t="shared" si="2"/>
        <v>288665.51843000983</v>
      </c>
      <c r="R16" s="14">
        <f t="shared" si="2"/>
        <v>3427.2484127392304</v>
      </c>
      <c r="S16" s="14">
        <f t="shared" si="2"/>
        <v>495342.85258328443</v>
      </c>
      <c r="T16" s="13">
        <f t="shared" si="8"/>
        <v>210104.58256601385</v>
      </c>
      <c r="V16" s="9"/>
    </row>
    <row r="17" spans="2:23">
      <c r="B17">
        <f t="shared" si="9"/>
        <v>34</v>
      </c>
      <c r="C17">
        <f t="shared" si="10"/>
        <v>4</v>
      </c>
      <c r="D17">
        <f t="shared" si="3"/>
        <v>1</v>
      </c>
      <c r="E17" s="9">
        <f t="shared" si="4"/>
        <v>50000</v>
      </c>
      <c r="F17" s="10">
        <f t="shared" si="11"/>
        <v>500000</v>
      </c>
      <c r="G17" s="10">
        <f t="shared" si="5"/>
        <v>0</v>
      </c>
      <c r="I17" s="12">
        <f t="shared" si="6"/>
        <v>0.99800149877378752</v>
      </c>
      <c r="J17" s="12">
        <f>VLOOKUP(B17,Ques_2_Data!$A$3:$B$28,2,FALSE)</f>
        <v>5.5000000000000003E-4</v>
      </c>
      <c r="K17" s="12">
        <f>I17*J17</f>
        <v>5.4890082432558322E-4</v>
      </c>
      <c r="M17" s="10">
        <f t="shared" si="1"/>
        <v>63532.627757398703</v>
      </c>
      <c r="N17" s="9">
        <f t="shared" si="12"/>
        <v>263.11205497986742</v>
      </c>
      <c r="O17" s="9">
        <f t="shared" si="7"/>
        <v>0</v>
      </c>
      <c r="Q17" s="14">
        <f t="shared" si="2"/>
        <v>236354.36088980734</v>
      </c>
      <c r="R17" s="14">
        <f t="shared" si="2"/>
        <v>3332.6928963435348</v>
      </c>
      <c r="S17" s="14">
        <f t="shared" si="2"/>
        <v>520109.9952124487</v>
      </c>
      <c r="T17" s="13">
        <f t="shared" si="8"/>
        <v>287088.32721898489</v>
      </c>
      <c r="U17" s="21">
        <f>NPV(5%,M18:M28)/$I$17</f>
        <v>173167.80921145828</v>
      </c>
      <c r="V17" s="21">
        <f>NPV(5%,N18:N28)/$I$17</f>
        <v>3075.7276869174675</v>
      </c>
      <c r="W17" s="21">
        <f>NPV(5%,O18:O28)/$I$17</f>
        <v>521151.51715853263</v>
      </c>
    </row>
    <row r="18" spans="2:23">
      <c r="B18">
        <f t="shared" si="9"/>
        <v>35</v>
      </c>
      <c r="C18">
        <f t="shared" si="10"/>
        <v>5</v>
      </c>
      <c r="D18">
        <f t="shared" si="3"/>
        <v>1</v>
      </c>
      <c r="E18" s="9">
        <f t="shared" si="4"/>
        <v>50000</v>
      </c>
      <c r="F18" s="10">
        <f t="shared" si="11"/>
        <v>500000</v>
      </c>
      <c r="G18" s="10">
        <f t="shared" si="5"/>
        <v>0</v>
      </c>
      <c r="I18" s="12">
        <f>I17-K17</f>
        <v>0.99745259794946195</v>
      </c>
      <c r="J18" s="12">
        <f>VLOOKUP(B18,Ques_2_Data!$A$3:$B$28,2,FALSE)</f>
        <v>5.7700000000000004E-4</v>
      </c>
      <c r="K18" s="12">
        <f>I18*J18</f>
        <v>5.7553014901683954E-4</v>
      </c>
      <c r="M18" s="10">
        <f t="shared" si="1"/>
        <v>63497.684812132138</v>
      </c>
      <c r="N18" s="9">
        <f t="shared" si="12"/>
        <v>274.45041216279162</v>
      </c>
      <c r="O18" s="9">
        <f t="shared" si="7"/>
        <v>0</v>
      </c>
      <c r="Q18" s="14">
        <f t="shared" si="2"/>
        <v>181462.81978902908</v>
      </c>
      <c r="R18" s="14">
        <f t="shared" si="2"/>
        <v>3223.0598834318507</v>
      </c>
      <c r="S18" s="14">
        <f t="shared" si="2"/>
        <v>546115.49497307115</v>
      </c>
      <c r="T18" s="13">
        <f t="shared" si="8"/>
        <v>367875.73506747396</v>
      </c>
      <c r="V18" s="9"/>
    </row>
    <row r="19" spans="2:23">
      <c r="B19">
        <f t="shared" si="9"/>
        <v>36</v>
      </c>
      <c r="C19">
        <f t="shared" si="10"/>
        <v>6</v>
      </c>
      <c r="D19">
        <f t="shared" si="3"/>
        <v>1</v>
      </c>
      <c r="E19" s="9">
        <f t="shared" si="4"/>
        <v>50000</v>
      </c>
      <c r="F19" s="10">
        <f t="shared" si="11"/>
        <v>500000</v>
      </c>
      <c r="G19" s="10">
        <f t="shared" si="5"/>
        <v>0</v>
      </c>
      <c r="I19" s="12">
        <f t="shared" ref="I19:I29" si="13">I18-K18</f>
        <v>0.99687706780044516</v>
      </c>
      <c r="J19" s="12">
        <f>VLOOKUP(B19,Ques_2_Data!$A$3:$B$28,2,FALSE)</f>
        <v>6.0800000000000003E-4</v>
      </c>
      <c r="K19" s="12">
        <f t="shared" ref="K19:K28" si="14">I19*J19</f>
        <v>6.0610125722267074E-4</v>
      </c>
      <c r="M19" s="10">
        <f t="shared" si="1"/>
        <v>63461.046647995536</v>
      </c>
      <c r="N19" s="9">
        <f t="shared" si="12"/>
        <v>287.76507450841979</v>
      </c>
      <c r="O19" s="9">
        <f t="shared" si="7"/>
        <v>0</v>
      </c>
      <c r="Q19" s="14">
        <f>M19+Q20/(1+$C$8)</f>
        <v>123863.39172574178</v>
      </c>
      <c r="R19" s="14">
        <f>N19+R20/(1+$C$8)</f>
        <v>3096.0399448325124</v>
      </c>
      <c r="S19" s="14">
        <f>O19+S20/(1+$C$8)</f>
        <v>573421.26972172479</v>
      </c>
      <c r="T19" s="13">
        <f t="shared" si="8"/>
        <v>452653.91794081556</v>
      </c>
      <c r="V19" s="9"/>
    </row>
    <row r="20" spans="2:23">
      <c r="B20">
        <f t="shared" si="9"/>
        <v>37</v>
      </c>
      <c r="C20">
        <f t="shared" si="10"/>
        <v>7</v>
      </c>
      <c r="D20">
        <f t="shared" si="3"/>
        <v>1</v>
      </c>
      <c r="E20" s="9">
        <f t="shared" si="4"/>
        <v>50000</v>
      </c>
      <c r="F20" s="10">
        <f t="shared" si="11"/>
        <v>500000</v>
      </c>
      <c r="G20" s="10">
        <f t="shared" si="5"/>
        <v>0</v>
      </c>
      <c r="I20" s="12">
        <f t="shared" si="13"/>
        <v>0.99627096654322245</v>
      </c>
      <c r="J20" s="12">
        <f>VLOOKUP(B20,Ques_2_Data!$A$3:$B$28,2,FALSE)</f>
        <v>6.4400000000000004E-4</v>
      </c>
      <c r="K20" s="12">
        <f t="shared" si="14"/>
        <v>6.4159850245383533E-4</v>
      </c>
      <c r="M20" s="10">
        <f t="shared" si="1"/>
        <v>63422.462331633556</v>
      </c>
      <c r="N20" s="9">
        <f t="shared" si="12"/>
        <v>303.05062861133536</v>
      </c>
      <c r="O20" s="9">
        <f t="shared" si="7"/>
        <v>0</v>
      </c>
      <c r="Q20" s="14">
        <f t="shared" ref="Q20:S28" si="15">M20+Q21/(1+$C$8)</f>
        <v>63422.462331633556</v>
      </c>
      <c r="R20" s="14">
        <f t="shared" si="15"/>
        <v>2948.6886138402974</v>
      </c>
      <c r="S20" s="14">
        <f t="shared" si="15"/>
        <v>602092.33320781111</v>
      </c>
      <c r="T20" s="13">
        <f t="shared" si="8"/>
        <v>541618.55949001783</v>
      </c>
      <c r="V20" s="9"/>
    </row>
    <row r="21" spans="2:23">
      <c r="B21">
        <f t="shared" si="9"/>
        <v>38</v>
      </c>
      <c r="C21">
        <f t="shared" si="10"/>
        <v>8</v>
      </c>
      <c r="D21">
        <f t="shared" si="3"/>
        <v>0</v>
      </c>
      <c r="E21" s="9">
        <f t="shared" si="4"/>
        <v>0</v>
      </c>
      <c r="F21" s="10">
        <f t="shared" si="11"/>
        <v>500000</v>
      </c>
      <c r="G21" s="10">
        <f t="shared" si="5"/>
        <v>0</v>
      </c>
      <c r="I21" s="12">
        <f t="shared" si="13"/>
        <v>0.99562936804076863</v>
      </c>
      <c r="J21" s="12">
        <f>VLOOKUP(B21,Ques_2_Data!$A$3:$B$28,2,FALSE)</f>
        <v>6.8499999999999995E-4</v>
      </c>
      <c r="K21" s="12">
        <f t="shared" si="14"/>
        <v>6.8200611710792641E-4</v>
      </c>
      <c r="M21" s="10">
        <f t="shared" si="1"/>
        <v>0</v>
      </c>
      <c r="N21" s="9">
        <f t="shared" si="12"/>
        <v>320.79925122691765</v>
      </c>
      <c r="O21" s="9">
        <f t="shared" si="7"/>
        <v>0</v>
      </c>
      <c r="Q21" s="14">
        <f t="shared" si="15"/>
        <v>0</v>
      </c>
      <c r="R21" s="14">
        <f t="shared" si="15"/>
        <v>2777.9198844904104</v>
      </c>
      <c r="S21" s="14">
        <f t="shared" si="15"/>
        <v>632196.94986820174</v>
      </c>
      <c r="T21" s="13">
        <f t="shared" si="8"/>
        <v>634974.86975269218</v>
      </c>
      <c r="V21" s="9"/>
    </row>
    <row r="22" spans="2:23">
      <c r="B22">
        <f t="shared" si="9"/>
        <v>39</v>
      </c>
      <c r="C22">
        <f t="shared" si="10"/>
        <v>9</v>
      </c>
      <c r="D22">
        <f t="shared" si="3"/>
        <v>0</v>
      </c>
      <c r="E22" s="9">
        <f t="shared" si="4"/>
        <v>0</v>
      </c>
      <c r="F22" s="10">
        <f t="shared" si="11"/>
        <v>500000</v>
      </c>
      <c r="G22" s="10">
        <f t="shared" si="5"/>
        <v>0</v>
      </c>
      <c r="I22" s="12">
        <f t="shared" si="13"/>
        <v>0.99494736192366073</v>
      </c>
      <c r="J22" s="12">
        <f>VLOOKUP(B22,Ques_2_Data!$A$3:$B$28,2,FALSE)</f>
        <v>7.3300000000000004E-4</v>
      </c>
      <c r="K22" s="12">
        <f t="shared" si="14"/>
        <v>7.2929641629004339E-4</v>
      </c>
      <c r="M22" s="10">
        <f t="shared" si="1"/>
        <v>0</v>
      </c>
      <c r="N22" s="9">
        <f t="shared" si="12"/>
        <v>341.00305855396323</v>
      </c>
      <c r="O22" s="9">
        <f t="shared" si="7"/>
        <v>0</v>
      </c>
      <c r="Q22" s="14">
        <f t="shared" si="15"/>
        <v>0</v>
      </c>
      <c r="R22" s="14">
        <f t="shared" si="15"/>
        <v>2579.9766649266676</v>
      </c>
      <c r="S22" s="14">
        <f t="shared" si="15"/>
        <v>663806.79736161185</v>
      </c>
      <c r="T22" s="13">
        <f t="shared" si="8"/>
        <v>666386.77402653848</v>
      </c>
      <c r="V22" s="9"/>
    </row>
    <row r="23" spans="2:23">
      <c r="B23">
        <f t="shared" si="9"/>
        <v>40</v>
      </c>
      <c r="C23">
        <f t="shared" si="10"/>
        <v>10</v>
      </c>
      <c r="D23">
        <f t="shared" si="3"/>
        <v>0</v>
      </c>
      <c r="E23" s="9">
        <f t="shared" si="4"/>
        <v>0</v>
      </c>
      <c r="F23" s="10">
        <f t="shared" si="11"/>
        <v>500000</v>
      </c>
      <c r="G23" s="10">
        <f t="shared" si="5"/>
        <v>0</v>
      </c>
      <c r="I23" s="12">
        <f t="shared" si="13"/>
        <v>0.99421806550737069</v>
      </c>
      <c r="J23" s="12">
        <f>VLOOKUP(B23,Ques_2_Data!$A$3:$B$28,2,FALSE)</f>
        <v>7.8799999999999996E-4</v>
      </c>
      <c r="K23" s="12">
        <f t="shared" si="14"/>
        <v>7.8344383561980804E-4</v>
      </c>
      <c r="M23" s="10">
        <f t="shared" si="1"/>
        <v>0</v>
      </c>
      <c r="N23" s="9">
        <f t="shared" si="12"/>
        <v>364.64820814502167</v>
      </c>
      <c r="O23" s="9">
        <f t="shared" si="7"/>
        <v>0</v>
      </c>
      <c r="Q23" s="14">
        <f t="shared" si="15"/>
        <v>0</v>
      </c>
      <c r="R23" s="14">
        <f t="shared" si="15"/>
        <v>2350.9222866913392</v>
      </c>
      <c r="S23" s="14">
        <f t="shared" si="15"/>
        <v>696997.13722969242</v>
      </c>
      <c r="T23" s="13">
        <f t="shared" si="8"/>
        <v>699348.0595163838</v>
      </c>
      <c r="V23" s="9"/>
    </row>
    <row r="24" spans="2:23">
      <c r="B24">
        <f t="shared" si="9"/>
        <v>41</v>
      </c>
      <c r="C24">
        <f t="shared" si="10"/>
        <v>11</v>
      </c>
      <c r="D24">
        <f t="shared" si="3"/>
        <v>0</v>
      </c>
      <c r="E24" s="9">
        <f t="shared" si="4"/>
        <v>0</v>
      </c>
      <c r="F24" s="10">
        <f t="shared" si="11"/>
        <v>500000</v>
      </c>
      <c r="G24" s="10">
        <f t="shared" si="5"/>
        <v>0</v>
      </c>
      <c r="I24" s="12">
        <f t="shared" si="13"/>
        <v>0.99343462167175089</v>
      </c>
      <c r="J24" s="12">
        <f>VLOOKUP(B24,Ques_2_Data!$A$3:$B$28,2,FALSE)</f>
        <v>8.5099999999999998E-4</v>
      </c>
      <c r="K24" s="12">
        <f t="shared" si="14"/>
        <v>8.4541286304265994E-4</v>
      </c>
      <c r="M24" s="10">
        <f t="shared" si="1"/>
        <v>0</v>
      </c>
      <c r="N24" s="9">
        <f t="shared" si="12"/>
        <v>391.72191780990403</v>
      </c>
      <c r="O24" s="9">
        <f t="shared" si="7"/>
        <v>0</v>
      </c>
      <c r="Q24" s="14">
        <f t="shared" si="15"/>
        <v>0</v>
      </c>
      <c r="R24" s="14">
        <f t="shared" si="15"/>
        <v>2085.5877824736335</v>
      </c>
      <c r="S24" s="14">
        <f t="shared" si="15"/>
        <v>731846.99409117713</v>
      </c>
      <c r="T24" s="13">
        <f t="shared" si="8"/>
        <v>733932.58187365078</v>
      </c>
      <c r="V24" s="9"/>
    </row>
    <row r="25" spans="2:23">
      <c r="B25">
        <f t="shared" si="9"/>
        <v>42</v>
      </c>
      <c r="C25">
        <f t="shared" si="10"/>
        <v>12</v>
      </c>
      <c r="D25">
        <f t="shared" si="3"/>
        <v>0</v>
      </c>
      <c r="E25" s="9">
        <f t="shared" si="4"/>
        <v>0</v>
      </c>
      <c r="F25" s="10">
        <f t="shared" si="11"/>
        <v>500000</v>
      </c>
      <c r="G25" s="10">
        <f t="shared" si="5"/>
        <v>0</v>
      </c>
      <c r="I25" s="12">
        <f t="shared" si="13"/>
        <v>0.99258920880870827</v>
      </c>
      <c r="J25" s="12">
        <f>VLOOKUP(B25,Ques_2_Data!$A$3:$B$28,2,FALSE)</f>
        <v>9.2199999999999997E-4</v>
      </c>
      <c r="K25" s="12">
        <f t="shared" si="14"/>
        <v>9.1516725052162898E-4</v>
      </c>
      <c r="M25" s="10">
        <f t="shared" si="1"/>
        <v>0</v>
      </c>
      <c r="N25" s="9">
        <f t="shared" si="12"/>
        <v>422.70643152132999</v>
      </c>
      <c r="O25" s="9">
        <f t="shared" si="7"/>
        <v>0</v>
      </c>
      <c r="Q25" s="14">
        <f t="shared" si="15"/>
        <v>0</v>
      </c>
      <c r="R25" s="14">
        <f t="shared" si="15"/>
        <v>1778.5591578969161</v>
      </c>
      <c r="S25" s="14">
        <f t="shared" si="15"/>
        <v>768439.34379573597</v>
      </c>
      <c r="T25" s="13">
        <f t="shared" si="8"/>
        <v>770217.90295363287</v>
      </c>
      <c r="V25" s="9"/>
    </row>
    <row r="26" spans="2:23">
      <c r="B26">
        <f t="shared" si="9"/>
        <v>43</v>
      </c>
      <c r="C26">
        <f t="shared" si="10"/>
        <v>13</v>
      </c>
      <c r="D26">
        <f t="shared" si="3"/>
        <v>0</v>
      </c>
      <c r="E26" s="9">
        <f t="shared" si="4"/>
        <v>0</v>
      </c>
      <c r="F26" s="10">
        <f t="shared" si="11"/>
        <v>500000</v>
      </c>
      <c r="G26" s="10">
        <f t="shared" si="5"/>
        <v>0</v>
      </c>
      <c r="I26" s="12">
        <f t="shared" si="13"/>
        <v>0.99167404155818661</v>
      </c>
      <c r="J26" s="12">
        <f>VLOOKUP(B26,Ques_2_Data!$A$3:$B$28,2,FALSE)</f>
        <v>1.003E-3</v>
      </c>
      <c r="K26" s="12">
        <f t="shared" si="14"/>
        <v>9.9464906368286108E-4</v>
      </c>
      <c r="M26" s="10">
        <f t="shared" si="1"/>
        <v>0</v>
      </c>
      <c r="N26" s="9">
        <f t="shared" si="12"/>
        <v>457.58362526081447</v>
      </c>
      <c r="O26" s="9">
        <f t="shared" si="7"/>
        <v>0</v>
      </c>
      <c r="Q26" s="14">
        <f t="shared" si="15"/>
        <v>0</v>
      </c>
      <c r="R26" s="14">
        <f t="shared" si="15"/>
        <v>1423.6453626943655</v>
      </c>
      <c r="S26" s="14">
        <f t="shared" si="15"/>
        <v>806861.31098552281</v>
      </c>
      <c r="T26" s="13">
        <f t="shared" si="8"/>
        <v>808284.95634821721</v>
      </c>
      <c r="V26" s="9"/>
    </row>
    <row r="27" spans="2:23">
      <c r="B27">
        <f t="shared" si="9"/>
        <v>44</v>
      </c>
      <c r="C27">
        <f t="shared" si="10"/>
        <v>14</v>
      </c>
      <c r="D27">
        <f t="shared" si="3"/>
        <v>0</v>
      </c>
      <c r="E27" s="9">
        <f t="shared" si="4"/>
        <v>0</v>
      </c>
      <c r="F27" s="10">
        <f t="shared" si="11"/>
        <v>500000</v>
      </c>
      <c r="G27" s="10">
        <f t="shared" si="5"/>
        <v>0</v>
      </c>
      <c r="I27" s="12">
        <f t="shared" si="13"/>
        <v>0.99067939249450376</v>
      </c>
      <c r="J27" s="12">
        <f>VLOOKUP(B27,Ques_2_Data!$A$3:$B$28,2,FALSE)</f>
        <v>1.096E-3</v>
      </c>
      <c r="K27" s="12">
        <f t="shared" si="14"/>
        <v>1.085784614173976E-3</v>
      </c>
      <c r="M27" s="10">
        <f t="shared" si="1"/>
        <v>0</v>
      </c>
      <c r="N27" s="9">
        <f t="shared" si="12"/>
        <v>497.32453184143054</v>
      </c>
      <c r="O27" s="9">
        <f t="shared" si="7"/>
        <v>0</v>
      </c>
      <c r="Q27" s="14">
        <f t="shared" si="15"/>
        <v>0</v>
      </c>
      <c r="R27" s="14">
        <f t="shared" si="15"/>
        <v>1014.3648243052287</v>
      </c>
      <c r="S27" s="14">
        <f t="shared" si="15"/>
        <v>847204.376534799</v>
      </c>
      <c r="T27" s="13">
        <f t="shared" si="8"/>
        <v>848218.74135910417</v>
      </c>
      <c r="V27" s="9"/>
    </row>
    <row r="28" spans="2:23">
      <c r="B28">
        <f t="shared" si="9"/>
        <v>45</v>
      </c>
      <c r="C28">
        <f t="shared" si="10"/>
        <v>15</v>
      </c>
      <c r="D28">
        <f t="shared" si="3"/>
        <v>0</v>
      </c>
      <c r="E28" s="9">
        <f t="shared" si="4"/>
        <v>0</v>
      </c>
      <c r="F28" s="10">
        <f t="shared" si="11"/>
        <v>500000</v>
      </c>
      <c r="G28" s="10">
        <f t="shared" si="5"/>
        <v>900000</v>
      </c>
      <c r="I28" s="12">
        <f t="shared" si="13"/>
        <v>0.9895936078803298</v>
      </c>
      <c r="J28" s="12">
        <f>VLOOKUP(B28,Ques_2_Data!$A$3:$B$28,2,FALSE)</f>
        <v>1.201E-3</v>
      </c>
      <c r="K28" s="12">
        <f t="shared" si="14"/>
        <v>1.1885019230642761E-3</v>
      </c>
      <c r="M28" s="10">
        <f t="shared" si="1"/>
        <v>0</v>
      </c>
      <c r="N28" s="9">
        <f t="shared" si="12"/>
        <v>542.89230708698801</v>
      </c>
      <c r="O28" s="9">
        <f t="shared" si="7"/>
        <v>889564.59536153893</v>
      </c>
      <c r="Q28" s="14">
        <f t="shared" si="15"/>
        <v>0</v>
      </c>
      <c r="R28" s="14">
        <f t="shared" si="15"/>
        <v>542.89230708698801</v>
      </c>
      <c r="S28" s="14">
        <f t="shared" si="15"/>
        <v>889564.59536153893</v>
      </c>
      <c r="T28" s="13">
        <f t="shared" si="8"/>
        <v>890107.48766862589</v>
      </c>
      <c r="V28" s="9"/>
    </row>
    <row r="29" spans="2:23">
      <c r="I29" s="12">
        <f t="shared" si="13"/>
        <v>0.9884051059572655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AE30"/>
  <sheetViews>
    <sheetView zoomScale="80" zoomScaleNormal="80" workbookViewId="0"/>
  </sheetViews>
  <sheetFormatPr defaultRowHeight="15"/>
  <cols>
    <col min="2" max="2" width="21.28515625" bestFit="1" customWidth="1"/>
    <col min="3" max="3" width="15.7109375" bestFit="1" customWidth="1"/>
    <col min="4" max="4" width="23.28515625" customWidth="1"/>
    <col min="5" max="6" width="18.28515625" customWidth="1"/>
    <col min="7" max="7" width="14.28515625" customWidth="1"/>
    <col min="8" max="8" width="14.7109375" bestFit="1" customWidth="1"/>
    <col min="9" max="9" width="14.28515625" customWidth="1"/>
    <col min="10" max="10" width="16.7109375" customWidth="1"/>
    <col min="11" max="11" width="18.42578125" customWidth="1"/>
    <col min="12" max="12" width="22.7109375" customWidth="1"/>
    <col min="13" max="13" width="15.7109375" customWidth="1"/>
    <col min="14" max="14" width="12" customWidth="1"/>
    <col min="15" max="16" width="15.85546875" customWidth="1"/>
    <col min="17" max="17" width="15.7109375" customWidth="1"/>
    <col min="18" max="19" width="16.7109375" customWidth="1"/>
    <col min="21" max="22" width="21.140625" customWidth="1"/>
    <col min="23" max="23" width="12.85546875" customWidth="1"/>
    <col min="24" max="24" width="17.28515625" customWidth="1"/>
    <col min="25" max="25" width="11.28515625" customWidth="1"/>
    <col min="26" max="26" width="20.85546875" customWidth="1"/>
    <col min="27" max="27" width="24.140625" customWidth="1"/>
    <col min="28" max="28" width="11.140625" bestFit="1" customWidth="1"/>
  </cols>
  <sheetData>
    <row r="2" spans="2:29">
      <c r="B2" t="s">
        <v>14</v>
      </c>
      <c r="C2" s="9">
        <v>50000</v>
      </c>
    </row>
    <row r="3" spans="2:29">
      <c r="B3" t="s">
        <v>5</v>
      </c>
      <c r="C3" s="10">
        <f>C2*10</f>
        <v>500000</v>
      </c>
    </row>
    <row r="4" spans="2:29">
      <c r="B4" t="s">
        <v>6</v>
      </c>
      <c r="C4" s="10">
        <f>C2*18</f>
        <v>900000</v>
      </c>
    </row>
    <row r="5" spans="2:29">
      <c r="C5" s="10"/>
    </row>
    <row r="6" spans="2:29">
      <c r="C6" s="10"/>
    </row>
    <row r="7" spans="2:29">
      <c r="B7" t="s">
        <v>9</v>
      </c>
      <c r="C7" s="10">
        <v>500</v>
      </c>
    </row>
    <row r="8" spans="2:29">
      <c r="B8" t="s">
        <v>7</v>
      </c>
      <c r="C8" s="11">
        <v>0.05</v>
      </c>
    </row>
    <row r="9" spans="2:29">
      <c r="C9" s="11"/>
      <c r="S9" s="65" t="s">
        <v>109</v>
      </c>
    </row>
    <row r="10" spans="2:29" ht="30">
      <c r="B10" t="s">
        <v>13</v>
      </c>
      <c r="C10" s="16">
        <v>63659.852049780697</v>
      </c>
      <c r="D10" s="32" t="s">
        <v>59</v>
      </c>
      <c r="E10" s="28" t="s">
        <v>26</v>
      </c>
      <c r="G10" s="28"/>
      <c r="H10" s="28"/>
      <c r="I10" s="28"/>
      <c r="J10" s="28"/>
      <c r="K10" s="28" t="s">
        <v>37</v>
      </c>
      <c r="L10" s="28"/>
      <c r="M10" s="28" t="s">
        <v>37</v>
      </c>
      <c r="N10" s="28"/>
      <c r="O10" s="28" t="s">
        <v>24</v>
      </c>
      <c r="P10" s="28" t="s">
        <v>24</v>
      </c>
      <c r="Q10" s="28" t="s">
        <v>24</v>
      </c>
      <c r="R10" s="28" t="s">
        <v>37</v>
      </c>
      <c r="S10" s="28" t="s">
        <v>37</v>
      </c>
      <c r="T10" s="28"/>
      <c r="U10" s="28" t="s">
        <v>37</v>
      </c>
      <c r="V10" s="28" t="s">
        <v>37</v>
      </c>
      <c r="W10" s="28" t="s">
        <v>37</v>
      </c>
      <c r="X10" s="28" t="s">
        <v>37</v>
      </c>
      <c r="Y10" s="28" t="s">
        <v>24</v>
      </c>
      <c r="Z10" s="15"/>
    </row>
    <row r="12" spans="2:29" s="17" customFormat="1" ht="30">
      <c r="B12" s="17" t="s">
        <v>0</v>
      </c>
      <c r="C12" s="17" t="s">
        <v>2</v>
      </c>
      <c r="D12" s="17" t="s">
        <v>3</v>
      </c>
      <c r="E12" s="17" t="s">
        <v>27</v>
      </c>
      <c r="F12" s="17" t="s">
        <v>28</v>
      </c>
      <c r="G12" s="17" t="s">
        <v>5</v>
      </c>
      <c r="H12" s="17" t="s">
        <v>8</v>
      </c>
      <c r="I12" s="17" t="s">
        <v>9</v>
      </c>
      <c r="K12" s="17" t="s">
        <v>10</v>
      </c>
      <c r="L12" s="17" t="s">
        <v>11</v>
      </c>
      <c r="M12" s="17" t="s">
        <v>12</v>
      </c>
      <c r="O12" s="17" t="s">
        <v>29</v>
      </c>
      <c r="P12" s="17" t="s">
        <v>30</v>
      </c>
      <c r="Q12" s="17" t="s">
        <v>16</v>
      </c>
      <c r="R12" s="17" t="s">
        <v>17</v>
      </c>
      <c r="S12" s="17" t="s">
        <v>33</v>
      </c>
      <c r="U12" s="17" t="s">
        <v>31</v>
      </c>
      <c r="V12" s="17" t="s">
        <v>32</v>
      </c>
      <c r="W12" s="17" t="s">
        <v>19</v>
      </c>
      <c r="X12" s="17" t="s">
        <v>20</v>
      </c>
      <c r="Y12" s="17" t="s">
        <v>34</v>
      </c>
      <c r="AA12" s="18" t="s">
        <v>35</v>
      </c>
      <c r="AB12" s="20">
        <f>SUM(W17:X17)-V17</f>
        <v>351059.43563399173</v>
      </c>
      <c r="AC12" s="30" t="s">
        <v>23</v>
      </c>
    </row>
    <row r="13" spans="2:29">
      <c r="B13">
        <v>30</v>
      </c>
      <c r="C13">
        <v>0</v>
      </c>
      <c r="D13">
        <f>IF(C13&lt;8,1,0)</f>
        <v>1</v>
      </c>
      <c r="E13" s="9"/>
      <c r="F13" s="9"/>
      <c r="H13">
        <f>IF(C13=15,$C$4,0)</f>
        <v>0</v>
      </c>
      <c r="I13" s="66">
        <f>$C$7</f>
        <v>500</v>
      </c>
      <c r="L13" s="12"/>
      <c r="M13" s="12"/>
      <c r="O13" s="10">
        <f>$K13*E13</f>
        <v>0</v>
      </c>
      <c r="P13" s="10">
        <f>$K13*F13</f>
        <v>0</v>
      </c>
      <c r="Q13" s="10"/>
      <c r="U13" s="14"/>
      <c r="V13" s="14"/>
      <c r="W13" s="14"/>
      <c r="X13" s="14"/>
      <c r="Y13" s="14"/>
      <c r="AA13" s="18" t="s">
        <v>36</v>
      </c>
      <c r="AB13" s="20">
        <f>SUM(W17:Y17)-U17</f>
        <v>392065.02289246162</v>
      </c>
      <c r="AC13" s="30" t="s">
        <v>23</v>
      </c>
    </row>
    <row r="14" spans="2:29">
      <c r="B14">
        <f>B13+1</f>
        <v>31</v>
      </c>
      <c r="C14">
        <f>C13+1</f>
        <v>1</v>
      </c>
      <c r="D14">
        <f t="shared" ref="D14:D28" si="0">IF(C14&lt;8,1,0)</f>
        <v>1</v>
      </c>
      <c r="E14" s="9"/>
      <c r="F14" s="9"/>
      <c r="G14" s="10">
        <f>$C$3</f>
        <v>500000</v>
      </c>
      <c r="H14" s="10">
        <f t="shared" ref="H14:H28" si="1">IF(C14=15,$C$4,0)</f>
        <v>0</v>
      </c>
      <c r="I14" s="10">
        <f t="shared" ref="I14:I27" si="2">$C$7</f>
        <v>500</v>
      </c>
      <c r="K14" s="12"/>
      <c r="L14" s="12"/>
      <c r="M14" s="12"/>
      <c r="O14" s="10">
        <f t="shared" ref="O14:P28" si="3">$K14*E14</f>
        <v>0</v>
      </c>
      <c r="P14" s="10">
        <f t="shared" si="3"/>
        <v>0</v>
      </c>
      <c r="Q14" s="9">
        <f>M13*$C$3</f>
        <v>0</v>
      </c>
      <c r="R14" s="9">
        <f>(K14-M14)*H14</f>
        <v>0</v>
      </c>
      <c r="S14" s="9"/>
      <c r="U14" s="14"/>
      <c r="V14" s="14"/>
      <c r="W14" s="14"/>
      <c r="X14" s="14"/>
      <c r="Y14" s="14"/>
      <c r="AA14" s="9"/>
      <c r="AB14" s="65" t="s">
        <v>109</v>
      </c>
      <c r="AC14" s="28"/>
    </row>
    <row r="15" spans="2:29">
      <c r="B15">
        <f t="shared" ref="B15:C28" si="4">B14+1</f>
        <v>32</v>
      </c>
      <c r="C15">
        <f t="shared" si="4"/>
        <v>2</v>
      </c>
      <c r="D15">
        <f t="shared" si="0"/>
        <v>1</v>
      </c>
      <c r="E15" s="9"/>
      <c r="F15" s="9"/>
      <c r="G15" s="10">
        <f t="shared" ref="G15:G28" si="5">$C$3</f>
        <v>500000</v>
      </c>
      <c r="H15" s="10">
        <f t="shared" si="1"/>
        <v>0</v>
      </c>
      <c r="I15" s="10">
        <f t="shared" si="2"/>
        <v>500</v>
      </c>
      <c r="K15" s="12"/>
      <c r="L15" s="12"/>
      <c r="M15" s="12"/>
      <c r="O15" s="10">
        <f t="shared" si="3"/>
        <v>0</v>
      </c>
      <c r="P15" s="10">
        <f t="shared" si="3"/>
        <v>0</v>
      </c>
      <c r="Q15" s="9">
        <f t="shared" ref="Q15:Q28" si="6">M14*$C$3</f>
        <v>0</v>
      </c>
      <c r="R15" s="9">
        <f t="shared" ref="R15:R28" si="7">(K15-M15)*H15</f>
        <v>0</v>
      </c>
      <c r="S15" s="9"/>
      <c r="U15" s="14"/>
      <c r="V15" s="14"/>
      <c r="W15" s="14"/>
      <c r="X15" s="14"/>
      <c r="Y15" s="14"/>
      <c r="AA15" s="9"/>
    </row>
    <row r="16" spans="2:29">
      <c r="B16">
        <f t="shared" si="4"/>
        <v>33</v>
      </c>
      <c r="C16">
        <f t="shared" si="4"/>
        <v>3</v>
      </c>
      <c r="D16">
        <f t="shared" si="0"/>
        <v>1</v>
      </c>
      <c r="E16" s="9"/>
      <c r="F16" s="9"/>
      <c r="G16" s="10">
        <f t="shared" si="5"/>
        <v>500000</v>
      </c>
      <c r="H16" s="10">
        <f t="shared" si="1"/>
        <v>0</v>
      </c>
      <c r="I16" s="10">
        <f t="shared" si="2"/>
        <v>500</v>
      </c>
      <c r="K16" s="12"/>
      <c r="L16" s="12"/>
      <c r="M16" s="12"/>
      <c r="O16" s="10">
        <f t="shared" si="3"/>
        <v>0</v>
      </c>
      <c r="P16" s="10">
        <f t="shared" si="3"/>
        <v>0</v>
      </c>
      <c r="Q16" s="9">
        <f t="shared" si="6"/>
        <v>0</v>
      </c>
      <c r="R16" s="9">
        <f t="shared" si="7"/>
        <v>0</v>
      </c>
      <c r="S16" s="9"/>
      <c r="U16" s="14"/>
      <c r="V16" s="14"/>
      <c r="W16" s="14"/>
      <c r="X16" s="14"/>
      <c r="Y16" s="14"/>
      <c r="AA16" s="9"/>
    </row>
    <row r="17" spans="2:31">
      <c r="B17">
        <f t="shared" si="4"/>
        <v>34</v>
      </c>
      <c r="C17">
        <f t="shared" si="4"/>
        <v>4</v>
      </c>
      <c r="D17">
        <f t="shared" si="0"/>
        <v>1</v>
      </c>
      <c r="E17" s="9"/>
      <c r="F17" s="9"/>
      <c r="G17" s="10">
        <f t="shared" si="5"/>
        <v>500000</v>
      </c>
      <c r="H17" s="10">
        <f t="shared" si="1"/>
        <v>0</v>
      </c>
      <c r="I17" s="10">
        <f t="shared" si="2"/>
        <v>500</v>
      </c>
      <c r="K17" s="12">
        <v>1</v>
      </c>
      <c r="L17" s="12">
        <f>VLOOKUP(B17,Ques_2_Data!$A$3:$B$28,2,FALSE)</f>
        <v>5.5000000000000003E-4</v>
      </c>
      <c r="M17" s="12">
        <f>K17*L17</f>
        <v>5.5000000000000003E-4</v>
      </c>
      <c r="O17" s="10">
        <f t="shared" si="3"/>
        <v>0</v>
      </c>
      <c r="P17" s="10">
        <f t="shared" si="3"/>
        <v>0</v>
      </c>
      <c r="Q17" s="9">
        <f t="shared" si="6"/>
        <v>0</v>
      </c>
      <c r="R17" s="9">
        <f t="shared" si="7"/>
        <v>0</v>
      </c>
      <c r="S17" s="9"/>
      <c r="U17" s="14">
        <f t="shared" ref="U17:U28" si="8">O17+U18/(1+$C$8)</f>
        <v>136010.21965621642</v>
      </c>
      <c r="V17" s="14">
        <f t="shared" ref="V17:V28" si="9">P17+V18/(1+$C$8)</f>
        <v>173167.80921145823</v>
      </c>
      <c r="W17" s="14">
        <f t="shared" ref="W17:W28" si="10">Q17+W18/(1+$C$8)</f>
        <v>3075.7276869174666</v>
      </c>
      <c r="X17" s="14">
        <f t="shared" ref="X17:X28" si="11">R17+X18/(1+$C$8)</f>
        <v>521151.51715853252</v>
      </c>
      <c r="Y17" s="14">
        <f t="shared" ref="Y17:Y28" si="12">S17+Y18/(1+$C$8)</f>
        <v>3847.9977032280849</v>
      </c>
      <c r="Z17" s="15"/>
      <c r="AA17" s="19"/>
      <c r="AB17" s="19"/>
      <c r="AC17" s="19"/>
      <c r="AD17" s="19"/>
      <c r="AE17" s="19"/>
    </row>
    <row r="18" spans="2:31">
      <c r="B18">
        <f t="shared" si="4"/>
        <v>35</v>
      </c>
      <c r="C18">
        <f t="shared" si="4"/>
        <v>5</v>
      </c>
      <c r="D18">
        <f t="shared" si="0"/>
        <v>1</v>
      </c>
      <c r="E18" s="9">
        <f t="shared" ref="E18:E28" si="13">$C$2*D18</f>
        <v>50000</v>
      </c>
      <c r="F18" s="9">
        <f>$C$10</f>
        <v>63659.852049780697</v>
      </c>
      <c r="G18" s="10">
        <f t="shared" si="5"/>
        <v>500000</v>
      </c>
      <c r="H18" s="10">
        <f t="shared" si="1"/>
        <v>0</v>
      </c>
      <c r="I18" s="10">
        <f t="shared" si="2"/>
        <v>500</v>
      </c>
      <c r="K18" s="12">
        <f>K17-M17</f>
        <v>0.99944999999999995</v>
      </c>
      <c r="L18" s="12">
        <f>VLOOKUP(B18,Ques_2_Data!$A$3:$B$28,2,FALSE)</f>
        <v>5.7700000000000004E-4</v>
      </c>
      <c r="M18" s="12">
        <f>K18*L18</f>
        <v>5.7668265000000002E-4</v>
      </c>
      <c r="O18" s="10">
        <f t="shared" si="3"/>
        <v>49972.5</v>
      </c>
      <c r="P18" s="10">
        <f t="shared" si="3"/>
        <v>63624.839131153312</v>
      </c>
      <c r="Q18" s="9">
        <f>M17*$C$3</f>
        <v>275</v>
      </c>
      <c r="R18" s="9">
        <f t="shared" si="7"/>
        <v>0</v>
      </c>
      <c r="S18" s="9">
        <f>K18*I18</f>
        <v>499.72499999999997</v>
      </c>
      <c r="U18" s="14">
        <f t="shared" si="8"/>
        <v>142810.73063902726</v>
      </c>
      <c r="V18" s="14">
        <f t="shared" si="9"/>
        <v>181826.19967203116</v>
      </c>
      <c r="W18" s="14">
        <f t="shared" si="10"/>
        <v>3229.5140712633402</v>
      </c>
      <c r="X18" s="14">
        <f t="shared" si="11"/>
        <v>547209.09301645914</v>
      </c>
      <c r="Y18" s="14">
        <f t="shared" si="12"/>
        <v>4040.3975883894891</v>
      </c>
      <c r="AA18" s="9"/>
    </row>
    <row r="19" spans="2:31">
      <c r="B19">
        <f t="shared" si="4"/>
        <v>36</v>
      </c>
      <c r="C19">
        <f t="shared" si="4"/>
        <v>6</v>
      </c>
      <c r="D19">
        <f t="shared" si="0"/>
        <v>1</v>
      </c>
      <c r="E19" s="9">
        <f t="shared" si="13"/>
        <v>50000</v>
      </c>
      <c r="F19" s="9">
        <f>$C$10</f>
        <v>63659.852049780697</v>
      </c>
      <c r="G19" s="10">
        <f t="shared" si="5"/>
        <v>500000</v>
      </c>
      <c r="H19" s="10">
        <f t="shared" si="1"/>
        <v>0</v>
      </c>
      <c r="I19" s="10">
        <f t="shared" si="2"/>
        <v>500</v>
      </c>
      <c r="K19" s="12">
        <f t="shared" ref="K19:K29" si="14">K18-M18</f>
        <v>0.99887331734999996</v>
      </c>
      <c r="L19" s="12">
        <f>VLOOKUP(B19,Ques_2_Data!$A$3:$B$28,2,FALSE)</f>
        <v>6.0800000000000003E-4</v>
      </c>
      <c r="M19" s="12">
        <f t="shared" ref="M19:M28" si="15">K19*L19</f>
        <v>6.0731497694880004E-4</v>
      </c>
      <c r="O19" s="10">
        <f t="shared" si="3"/>
        <v>49943.6658675</v>
      </c>
      <c r="P19" s="10">
        <f t="shared" si="3"/>
        <v>63588.127598974635</v>
      </c>
      <c r="Q19" s="9">
        <f t="shared" si="6"/>
        <v>288.34132500000004</v>
      </c>
      <c r="R19" s="9">
        <f t="shared" si="7"/>
        <v>0</v>
      </c>
      <c r="S19" s="9">
        <f t="shared" ref="S19:S28" si="16">K19*I19</f>
        <v>499.43665867499999</v>
      </c>
      <c r="U19" s="14">
        <f t="shared" si="8"/>
        <v>97480.142170978623</v>
      </c>
      <c r="V19" s="14">
        <f t="shared" si="9"/>
        <v>124111.42856792174</v>
      </c>
      <c r="W19" s="14">
        <f t="shared" si="10"/>
        <v>3102.2397748265075</v>
      </c>
      <c r="X19" s="14">
        <f t="shared" si="11"/>
        <v>574569.54766728217</v>
      </c>
      <c r="Y19" s="14">
        <f t="shared" si="12"/>
        <v>3717.7062178089636</v>
      </c>
      <c r="AA19" s="9"/>
    </row>
    <row r="20" spans="2:31">
      <c r="B20">
        <f t="shared" si="4"/>
        <v>37</v>
      </c>
      <c r="C20">
        <f t="shared" si="4"/>
        <v>7</v>
      </c>
      <c r="D20">
        <f t="shared" si="0"/>
        <v>1</v>
      </c>
      <c r="E20" s="9">
        <f t="shared" si="13"/>
        <v>50000</v>
      </c>
      <c r="F20" s="9">
        <f>$C$10</f>
        <v>63659.852049780697</v>
      </c>
      <c r="G20" s="10">
        <f t="shared" si="5"/>
        <v>500000</v>
      </c>
      <c r="H20" s="10">
        <f t="shared" si="1"/>
        <v>0</v>
      </c>
      <c r="I20" s="10">
        <f t="shared" si="2"/>
        <v>500</v>
      </c>
      <c r="K20" s="12">
        <f t="shared" si="14"/>
        <v>0.99826600237305119</v>
      </c>
      <c r="L20" s="12">
        <f>VLOOKUP(B20,Ques_2_Data!$A$3:$B$28,2,FALSE)</f>
        <v>6.4400000000000004E-4</v>
      </c>
      <c r="M20" s="12">
        <f t="shared" si="15"/>
        <v>6.4288330552824497E-4</v>
      </c>
      <c r="O20" s="10">
        <f t="shared" si="3"/>
        <v>49913.300118652558</v>
      </c>
      <c r="P20" s="10">
        <f t="shared" si="3"/>
        <v>63549.466017394465</v>
      </c>
      <c r="Q20" s="9">
        <f t="shared" si="6"/>
        <v>303.6574884744</v>
      </c>
      <c r="R20" s="9">
        <f t="shared" si="7"/>
        <v>0</v>
      </c>
      <c r="S20" s="9">
        <f t="shared" si="16"/>
        <v>499.13300118652558</v>
      </c>
      <c r="U20" s="14">
        <f t="shared" si="8"/>
        <v>49913.300118652558</v>
      </c>
      <c r="V20" s="14">
        <f t="shared" si="9"/>
        <v>63549.466017394465</v>
      </c>
      <c r="W20" s="14">
        <f t="shared" si="10"/>
        <v>2954.5933723178332</v>
      </c>
      <c r="X20" s="14">
        <f t="shared" si="11"/>
        <v>603298.02505064628</v>
      </c>
      <c r="Y20" s="14">
        <f t="shared" si="12"/>
        <v>3379.1830370906623</v>
      </c>
      <c r="AA20" s="9"/>
    </row>
    <row r="21" spans="2:31">
      <c r="B21">
        <f t="shared" si="4"/>
        <v>38</v>
      </c>
      <c r="C21">
        <f t="shared" si="4"/>
        <v>8</v>
      </c>
      <c r="D21">
        <f t="shared" si="0"/>
        <v>0</v>
      </c>
      <c r="E21" s="9">
        <f t="shared" si="13"/>
        <v>0</v>
      </c>
      <c r="F21" s="9"/>
      <c r="G21" s="10">
        <f t="shared" si="5"/>
        <v>500000</v>
      </c>
      <c r="H21" s="10">
        <f t="shared" si="1"/>
        <v>0</v>
      </c>
      <c r="I21" s="10">
        <f t="shared" si="2"/>
        <v>500</v>
      </c>
      <c r="K21" s="12">
        <f t="shared" si="14"/>
        <v>0.99762311906752299</v>
      </c>
      <c r="L21" s="12">
        <f>VLOOKUP(B21,Ques_2_Data!$A$3:$B$28,2,FALSE)</f>
        <v>6.8499999999999995E-4</v>
      </c>
      <c r="M21" s="12">
        <f t="shared" si="15"/>
        <v>6.8337183656125321E-4</v>
      </c>
      <c r="O21" s="10">
        <f t="shared" si="3"/>
        <v>0</v>
      </c>
      <c r="P21" s="10">
        <f t="shared" si="3"/>
        <v>0</v>
      </c>
      <c r="Q21" s="9">
        <f t="shared" si="6"/>
        <v>321.44165276412247</v>
      </c>
      <c r="R21" s="9">
        <f t="shared" si="7"/>
        <v>0</v>
      </c>
      <c r="S21" s="9">
        <f t="shared" si="16"/>
        <v>498.81155953376151</v>
      </c>
      <c r="U21" s="14">
        <f t="shared" si="8"/>
        <v>0</v>
      </c>
      <c r="V21" s="14">
        <f t="shared" si="9"/>
        <v>0</v>
      </c>
      <c r="W21" s="14">
        <f t="shared" si="10"/>
        <v>2783.4826780356052</v>
      </c>
      <c r="X21" s="14">
        <f t="shared" si="11"/>
        <v>633462.92630317865</v>
      </c>
      <c r="Y21" s="14">
        <f t="shared" si="12"/>
        <v>3024.0525376993437</v>
      </c>
      <c r="AA21" s="9"/>
    </row>
    <row r="22" spans="2:31">
      <c r="B22">
        <f t="shared" si="4"/>
        <v>39</v>
      </c>
      <c r="C22">
        <f t="shared" si="4"/>
        <v>9</v>
      </c>
      <c r="D22">
        <f t="shared" si="0"/>
        <v>0</v>
      </c>
      <c r="E22" s="9">
        <f t="shared" si="13"/>
        <v>0</v>
      </c>
      <c r="F22" s="9"/>
      <c r="G22" s="10">
        <f t="shared" si="5"/>
        <v>500000</v>
      </c>
      <c r="H22" s="10">
        <f t="shared" si="1"/>
        <v>0</v>
      </c>
      <c r="I22" s="10">
        <f t="shared" si="2"/>
        <v>500</v>
      </c>
      <c r="K22" s="12">
        <f t="shared" si="14"/>
        <v>0.99693974723096168</v>
      </c>
      <c r="L22" s="12">
        <f>VLOOKUP(B22,Ques_2_Data!$A$3:$B$28,2,FALSE)</f>
        <v>7.3300000000000004E-4</v>
      </c>
      <c r="M22" s="12">
        <f t="shared" si="15"/>
        <v>7.3075683472029499E-4</v>
      </c>
      <c r="O22" s="10">
        <f t="shared" si="3"/>
        <v>0</v>
      </c>
      <c r="P22" s="10">
        <f t="shared" si="3"/>
        <v>0</v>
      </c>
      <c r="Q22" s="9">
        <f t="shared" si="6"/>
        <v>341.68591828062659</v>
      </c>
      <c r="R22" s="9">
        <f t="shared" si="7"/>
        <v>0</v>
      </c>
      <c r="S22" s="9">
        <f t="shared" si="16"/>
        <v>498.46987361548082</v>
      </c>
      <c r="U22" s="14">
        <f t="shared" si="8"/>
        <v>0</v>
      </c>
      <c r="V22" s="14">
        <f t="shared" si="9"/>
        <v>0</v>
      </c>
      <c r="W22" s="14">
        <f t="shared" si="10"/>
        <v>2585.1430765350569</v>
      </c>
      <c r="X22" s="14">
        <f t="shared" si="11"/>
        <v>665136.07261833758</v>
      </c>
      <c r="Y22" s="14">
        <f t="shared" si="12"/>
        <v>2651.5030270738612</v>
      </c>
      <c r="AA22" s="9"/>
    </row>
    <row r="23" spans="2:31">
      <c r="B23">
        <f t="shared" si="4"/>
        <v>40</v>
      </c>
      <c r="C23">
        <f t="shared" si="4"/>
        <v>10</v>
      </c>
      <c r="D23">
        <f t="shared" si="0"/>
        <v>0</v>
      </c>
      <c r="E23" s="9">
        <f t="shared" si="13"/>
        <v>0</v>
      </c>
      <c r="F23" s="9"/>
      <c r="G23" s="10">
        <f t="shared" si="5"/>
        <v>500000</v>
      </c>
      <c r="H23" s="10">
        <f t="shared" si="1"/>
        <v>0</v>
      </c>
      <c r="I23" s="10">
        <f t="shared" si="2"/>
        <v>500</v>
      </c>
      <c r="K23" s="12">
        <f t="shared" si="14"/>
        <v>0.99620899039624133</v>
      </c>
      <c r="L23" s="12">
        <f>VLOOKUP(B23,Ques_2_Data!$A$3:$B$28,2,FALSE)</f>
        <v>7.8799999999999996E-4</v>
      </c>
      <c r="M23" s="12">
        <f t="shared" si="15"/>
        <v>7.8501268443223818E-4</v>
      </c>
      <c r="O23" s="10">
        <f t="shared" si="3"/>
        <v>0</v>
      </c>
      <c r="P23" s="10">
        <f t="shared" si="3"/>
        <v>0</v>
      </c>
      <c r="Q23" s="9">
        <f t="shared" si="6"/>
        <v>365.37841736014752</v>
      </c>
      <c r="R23" s="9">
        <f t="shared" si="7"/>
        <v>0</v>
      </c>
      <c r="S23" s="9">
        <f t="shared" si="16"/>
        <v>498.10449519812067</v>
      </c>
      <c r="U23" s="14">
        <f t="shared" si="8"/>
        <v>0</v>
      </c>
      <c r="V23" s="14">
        <f t="shared" si="9"/>
        <v>0</v>
      </c>
      <c r="W23" s="14">
        <f t="shared" si="10"/>
        <v>2355.630016167152</v>
      </c>
      <c r="X23" s="14">
        <f t="shared" si="11"/>
        <v>698392.87624925445</v>
      </c>
      <c r="Y23" s="14">
        <f t="shared" si="12"/>
        <v>2260.6848111312993</v>
      </c>
      <c r="AA23" s="9"/>
    </row>
    <row r="24" spans="2:31">
      <c r="B24">
        <f t="shared" si="4"/>
        <v>41</v>
      </c>
      <c r="C24">
        <f t="shared" si="4"/>
        <v>11</v>
      </c>
      <c r="D24">
        <f t="shared" si="0"/>
        <v>0</v>
      </c>
      <c r="E24" s="9">
        <f t="shared" si="13"/>
        <v>0</v>
      </c>
      <c r="F24" s="9"/>
      <c r="G24" s="10">
        <f t="shared" si="5"/>
        <v>500000</v>
      </c>
      <c r="H24" s="10">
        <f t="shared" si="1"/>
        <v>0</v>
      </c>
      <c r="I24" s="10">
        <f t="shared" si="2"/>
        <v>500</v>
      </c>
      <c r="K24" s="12">
        <f t="shared" si="14"/>
        <v>0.99542397771180913</v>
      </c>
      <c r="L24" s="12">
        <f>VLOOKUP(B24,Ques_2_Data!$A$3:$B$28,2,FALSE)</f>
        <v>8.5099999999999998E-4</v>
      </c>
      <c r="M24" s="12">
        <f t="shared" si="15"/>
        <v>8.4710580503274957E-4</v>
      </c>
      <c r="O24" s="10">
        <f t="shared" si="3"/>
        <v>0</v>
      </c>
      <c r="P24" s="10">
        <f t="shared" si="3"/>
        <v>0</v>
      </c>
      <c r="Q24" s="9">
        <f t="shared" si="6"/>
        <v>392.50634221611909</v>
      </c>
      <c r="R24" s="9">
        <f t="shared" si="7"/>
        <v>0</v>
      </c>
      <c r="S24" s="9">
        <f t="shared" si="16"/>
        <v>497.71198885590456</v>
      </c>
      <c r="U24" s="14">
        <f t="shared" si="8"/>
        <v>0</v>
      </c>
      <c r="V24" s="14">
        <f t="shared" si="9"/>
        <v>0</v>
      </c>
      <c r="W24" s="14">
        <f t="shared" si="10"/>
        <v>2089.7641787473549</v>
      </c>
      <c r="X24" s="14">
        <f t="shared" si="11"/>
        <v>733312.52006171725</v>
      </c>
      <c r="Y24" s="14">
        <f t="shared" si="12"/>
        <v>1850.7093317298379</v>
      </c>
      <c r="AA24" s="9"/>
    </row>
    <row r="25" spans="2:31">
      <c r="B25">
        <f t="shared" si="4"/>
        <v>42</v>
      </c>
      <c r="C25">
        <f t="shared" si="4"/>
        <v>12</v>
      </c>
      <c r="D25">
        <f t="shared" si="0"/>
        <v>0</v>
      </c>
      <c r="E25" s="9">
        <f t="shared" si="13"/>
        <v>0</v>
      </c>
      <c r="F25" s="9"/>
      <c r="G25" s="10">
        <f t="shared" si="5"/>
        <v>500000</v>
      </c>
      <c r="H25" s="10">
        <f t="shared" si="1"/>
        <v>0</v>
      </c>
      <c r="I25" s="10">
        <f t="shared" si="2"/>
        <v>500</v>
      </c>
      <c r="K25" s="12">
        <f t="shared" si="14"/>
        <v>0.99457687190677635</v>
      </c>
      <c r="L25" s="12">
        <f>VLOOKUP(B25,Ques_2_Data!$A$3:$B$28,2,FALSE)</f>
        <v>9.2199999999999997E-4</v>
      </c>
      <c r="M25" s="12">
        <f t="shared" si="15"/>
        <v>9.1699987589804772E-4</v>
      </c>
      <c r="O25" s="10">
        <f t="shared" si="3"/>
        <v>0</v>
      </c>
      <c r="P25" s="10">
        <f t="shared" si="3"/>
        <v>0</v>
      </c>
      <c r="Q25" s="9">
        <f t="shared" si="6"/>
        <v>423.55290251637479</v>
      </c>
      <c r="R25" s="9">
        <f t="shared" si="7"/>
        <v>0</v>
      </c>
      <c r="S25" s="9">
        <f t="shared" si="16"/>
        <v>497.28843595338816</v>
      </c>
      <c r="U25" s="14">
        <f t="shared" si="8"/>
        <v>0</v>
      </c>
      <c r="V25" s="14">
        <f t="shared" si="9"/>
        <v>0</v>
      </c>
      <c r="W25" s="14">
        <f t="shared" si="10"/>
        <v>1782.1207283577978</v>
      </c>
      <c r="X25" s="14">
        <f t="shared" si="11"/>
        <v>769978.14606480312</v>
      </c>
      <c r="Y25" s="14">
        <f t="shared" si="12"/>
        <v>1420.6472100176302</v>
      </c>
      <c r="AA25" s="9"/>
    </row>
    <row r="26" spans="2:31">
      <c r="B26">
        <f t="shared" si="4"/>
        <v>43</v>
      </c>
      <c r="C26">
        <f t="shared" si="4"/>
        <v>13</v>
      </c>
      <c r="D26">
        <f t="shared" si="0"/>
        <v>0</v>
      </c>
      <c r="E26" s="9">
        <f t="shared" si="13"/>
        <v>0</v>
      </c>
      <c r="F26" s="9"/>
      <c r="G26" s="10">
        <f t="shared" si="5"/>
        <v>500000</v>
      </c>
      <c r="H26" s="10">
        <f t="shared" si="1"/>
        <v>0</v>
      </c>
      <c r="I26" s="10">
        <f t="shared" si="2"/>
        <v>500</v>
      </c>
      <c r="K26" s="12">
        <f t="shared" si="14"/>
        <v>0.99365987203087835</v>
      </c>
      <c r="L26" s="12">
        <f>VLOOKUP(B26,Ques_2_Data!$A$3:$B$28,2,FALSE)</f>
        <v>1.003E-3</v>
      </c>
      <c r="M26" s="12">
        <f t="shared" si="15"/>
        <v>9.9664085164697107E-4</v>
      </c>
      <c r="O26" s="10">
        <f t="shared" si="3"/>
        <v>0</v>
      </c>
      <c r="P26" s="10">
        <f t="shared" si="3"/>
        <v>0</v>
      </c>
      <c r="Q26" s="9">
        <f t="shared" si="6"/>
        <v>458.49993794902383</v>
      </c>
      <c r="R26" s="9">
        <f t="shared" si="7"/>
        <v>0</v>
      </c>
      <c r="S26" s="9">
        <f t="shared" si="16"/>
        <v>496.82993601543916</v>
      </c>
      <c r="U26" s="14">
        <f t="shared" si="8"/>
        <v>0</v>
      </c>
      <c r="V26" s="14">
        <f t="shared" si="9"/>
        <v>0</v>
      </c>
      <c r="W26" s="14">
        <f t="shared" si="10"/>
        <v>1426.4962171334942</v>
      </c>
      <c r="X26" s="14">
        <f t="shared" si="11"/>
        <v>808477.05336804327</v>
      </c>
      <c r="Y26" s="14">
        <f t="shared" si="12"/>
        <v>969.52671276745411</v>
      </c>
      <c r="AA26" s="9"/>
    </row>
    <row r="27" spans="2:31">
      <c r="B27">
        <f t="shared" si="4"/>
        <v>44</v>
      </c>
      <c r="C27">
        <f t="shared" si="4"/>
        <v>14</v>
      </c>
      <c r="D27">
        <f t="shared" si="0"/>
        <v>0</v>
      </c>
      <c r="E27" s="9">
        <f t="shared" si="13"/>
        <v>0</v>
      </c>
      <c r="F27" s="9"/>
      <c r="G27" s="10">
        <f t="shared" si="5"/>
        <v>500000</v>
      </c>
      <c r="H27" s="10">
        <f t="shared" si="1"/>
        <v>0</v>
      </c>
      <c r="I27" s="10">
        <f t="shared" si="2"/>
        <v>500</v>
      </c>
      <c r="K27" s="12">
        <f t="shared" si="14"/>
        <v>0.99266323117923139</v>
      </c>
      <c r="L27" s="12">
        <f>VLOOKUP(B27,Ques_2_Data!$A$3:$B$28,2,FALSE)</f>
        <v>1.096E-3</v>
      </c>
      <c r="M27" s="12">
        <f t="shared" si="15"/>
        <v>1.0879589013724376E-3</v>
      </c>
      <c r="O27" s="10">
        <f t="shared" si="3"/>
        <v>0</v>
      </c>
      <c r="P27" s="10">
        <f t="shared" si="3"/>
        <v>0</v>
      </c>
      <c r="Q27" s="9">
        <f t="shared" si="6"/>
        <v>498.32042582348555</v>
      </c>
      <c r="R27" s="9">
        <f t="shared" si="7"/>
        <v>0</v>
      </c>
      <c r="S27" s="9">
        <f t="shared" si="16"/>
        <v>496.33161558961569</v>
      </c>
      <c r="U27" s="14">
        <f t="shared" si="8"/>
        <v>0</v>
      </c>
      <c r="V27" s="14">
        <f t="shared" si="9"/>
        <v>0</v>
      </c>
      <c r="W27" s="14">
        <f t="shared" si="10"/>
        <v>1016.3960931436939</v>
      </c>
      <c r="X27" s="14">
        <f t="shared" si="11"/>
        <v>848900.90603644552</v>
      </c>
      <c r="Y27" s="14">
        <f t="shared" si="12"/>
        <v>496.33161558961569</v>
      </c>
      <c r="AA27" s="9"/>
    </row>
    <row r="28" spans="2:31">
      <c r="B28">
        <f t="shared" si="4"/>
        <v>45</v>
      </c>
      <c r="C28">
        <f t="shared" si="4"/>
        <v>15</v>
      </c>
      <c r="D28">
        <f t="shared" si="0"/>
        <v>0</v>
      </c>
      <c r="E28" s="9">
        <f t="shared" si="13"/>
        <v>0</v>
      </c>
      <c r="F28" s="9"/>
      <c r="G28" s="10">
        <f t="shared" si="5"/>
        <v>500000</v>
      </c>
      <c r="H28" s="10">
        <f t="shared" si="1"/>
        <v>900000</v>
      </c>
      <c r="I28" s="66"/>
      <c r="K28" s="12">
        <f t="shared" si="14"/>
        <v>0.99157527227785891</v>
      </c>
      <c r="L28" s="12">
        <f>VLOOKUP(B28,Ques_2_Data!$A$3:$B$28,2,FALSE)</f>
        <v>1.201E-3</v>
      </c>
      <c r="M28" s="12">
        <f t="shared" si="15"/>
        <v>1.1908819020057086E-3</v>
      </c>
      <c r="O28" s="10">
        <f t="shared" si="3"/>
        <v>0</v>
      </c>
      <c r="P28" s="10">
        <f t="shared" si="3"/>
        <v>0</v>
      </c>
      <c r="Q28" s="9">
        <f t="shared" si="6"/>
        <v>543.9794506862188</v>
      </c>
      <c r="R28" s="9">
        <f t="shared" si="7"/>
        <v>891345.95133826789</v>
      </c>
      <c r="S28" s="9">
        <f t="shared" si="16"/>
        <v>0</v>
      </c>
      <c r="U28" s="14">
        <f t="shared" si="8"/>
        <v>0</v>
      </c>
      <c r="V28" s="14">
        <f t="shared" si="9"/>
        <v>0</v>
      </c>
      <c r="W28" s="14">
        <f t="shared" si="10"/>
        <v>543.9794506862188</v>
      </c>
      <c r="X28" s="14">
        <f t="shared" si="11"/>
        <v>891345.95133826789</v>
      </c>
      <c r="Y28" s="14">
        <f t="shared" si="12"/>
        <v>0</v>
      </c>
      <c r="AA28" s="9"/>
    </row>
    <row r="29" spans="2:31">
      <c r="K29" s="12">
        <f t="shared" si="14"/>
        <v>0.99038439037585324</v>
      </c>
    </row>
    <row r="30" spans="2:31">
      <c r="S30" s="65" t="s">
        <v>108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E29"/>
  <sheetViews>
    <sheetView workbookViewId="0"/>
  </sheetViews>
  <sheetFormatPr defaultRowHeight="15"/>
  <cols>
    <col min="1" max="1" width="10.85546875" customWidth="1"/>
    <col min="2" max="2" width="11.28515625" bestFit="1" customWidth="1"/>
    <col min="4" max="4" width="9.7109375" customWidth="1"/>
    <col min="5" max="5" width="12" customWidth="1"/>
  </cols>
  <sheetData>
    <row r="2" spans="1:5" ht="15.75" thickBot="1"/>
    <row r="3" spans="1:5" ht="15.75" thickBot="1">
      <c r="A3" s="1" t="s">
        <v>39</v>
      </c>
      <c r="B3" s="2" t="s">
        <v>38</v>
      </c>
      <c r="D3" s="1" t="s">
        <v>0</v>
      </c>
      <c r="E3" s="2" t="s">
        <v>1</v>
      </c>
    </row>
    <row r="4" spans="1:5">
      <c r="A4" s="3"/>
      <c r="B4" s="4"/>
      <c r="D4" s="3">
        <v>25</v>
      </c>
      <c r="E4" s="4">
        <v>4.35E-4</v>
      </c>
    </row>
    <row r="5" spans="1:5">
      <c r="A5" s="5">
        <v>0</v>
      </c>
      <c r="B5" s="25">
        <v>5471</v>
      </c>
      <c r="D5" s="5">
        <v>26</v>
      </c>
      <c r="E5" s="6">
        <v>4.4000000000000002E-4</v>
      </c>
    </row>
    <row r="6" spans="1:5">
      <c r="A6" s="5">
        <f>A5+1</f>
        <v>1</v>
      </c>
      <c r="B6" s="25">
        <v>5689.84</v>
      </c>
      <c r="C6" s="22"/>
      <c r="D6" s="5">
        <v>27</v>
      </c>
      <c r="E6" s="6">
        <v>4.4700000000000002E-4</v>
      </c>
    </row>
    <row r="7" spans="1:5">
      <c r="A7" s="5">
        <f t="shared" ref="A7:A25" si="0">A6+1</f>
        <v>2</v>
      </c>
      <c r="B7" s="25">
        <v>5945.8827999999994</v>
      </c>
      <c r="C7" s="23"/>
      <c r="D7" s="5">
        <v>28</v>
      </c>
      <c r="E7" s="6">
        <v>4.55E-4</v>
      </c>
    </row>
    <row r="8" spans="1:5">
      <c r="A8" s="5">
        <f t="shared" si="0"/>
        <v>3</v>
      </c>
      <c r="B8" s="25">
        <v>6659.3887359999999</v>
      </c>
      <c r="C8" s="22"/>
      <c r="D8" s="5">
        <v>29</v>
      </c>
      <c r="E8" s="6">
        <v>4.6500000000000003E-4</v>
      </c>
    </row>
    <row r="9" spans="1:5">
      <c r="A9" s="5">
        <f t="shared" si="0"/>
        <v>4</v>
      </c>
      <c r="B9" s="25">
        <v>7658.2970463999991</v>
      </c>
      <c r="C9" s="22"/>
      <c r="D9" s="5">
        <v>30</v>
      </c>
      <c r="E9" s="6">
        <v>4.7600000000000002E-4</v>
      </c>
    </row>
    <row r="10" spans="1:5">
      <c r="A10" s="5">
        <f t="shared" si="0"/>
        <v>5</v>
      </c>
      <c r="B10" s="25">
        <v>8424.1267510399994</v>
      </c>
      <c r="C10" s="22"/>
      <c r="D10" s="5">
        <v>31</v>
      </c>
      <c r="E10" s="6">
        <v>4.8999999999999998E-4</v>
      </c>
    </row>
    <row r="11" spans="1:5">
      <c r="A11" s="5">
        <f t="shared" si="0"/>
        <v>6</v>
      </c>
      <c r="B11" s="25">
        <v>8002.9204134879992</v>
      </c>
      <c r="C11" s="22"/>
      <c r="D11" s="5">
        <v>32</v>
      </c>
      <c r="E11" s="6">
        <v>5.0699999999999996E-4</v>
      </c>
    </row>
    <row r="12" spans="1:5">
      <c r="A12" s="5">
        <f t="shared" si="0"/>
        <v>7</v>
      </c>
      <c r="B12" s="25">
        <v>8963.2708631065598</v>
      </c>
      <c r="C12" s="22"/>
      <c r="D12" s="5">
        <v>33</v>
      </c>
      <c r="E12" s="6">
        <v>5.2700000000000002E-4</v>
      </c>
    </row>
    <row r="13" spans="1:5">
      <c r="A13" s="5">
        <f t="shared" si="0"/>
        <v>8</v>
      </c>
      <c r="B13" s="25">
        <v>10307.761492572543</v>
      </c>
      <c r="C13" s="22"/>
      <c r="D13" s="5">
        <v>34</v>
      </c>
      <c r="E13" s="6">
        <v>5.5000000000000003E-4</v>
      </c>
    </row>
    <row r="14" spans="1:5">
      <c r="A14" s="5">
        <f t="shared" si="0"/>
        <v>9</v>
      </c>
      <c r="B14" s="25">
        <v>8761.5972686866608</v>
      </c>
      <c r="C14" s="22"/>
      <c r="D14" s="5">
        <v>35</v>
      </c>
      <c r="E14" s="6">
        <v>5.7700000000000004E-4</v>
      </c>
    </row>
    <row r="15" spans="1:5">
      <c r="A15" s="5">
        <f t="shared" si="0"/>
        <v>10</v>
      </c>
      <c r="B15" s="25">
        <v>9199.6771321209944</v>
      </c>
      <c r="C15" s="22"/>
      <c r="D15" s="5">
        <v>36</v>
      </c>
      <c r="E15" s="6">
        <v>6.0800000000000003E-4</v>
      </c>
    </row>
    <row r="16" spans="1:5">
      <c r="A16" s="5">
        <f t="shared" si="0"/>
        <v>11</v>
      </c>
      <c r="B16" s="25">
        <v>10119.644845333094</v>
      </c>
      <c r="C16" s="22"/>
      <c r="D16" s="5">
        <v>37</v>
      </c>
      <c r="E16" s="6">
        <v>6.4400000000000004E-4</v>
      </c>
    </row>
    <row r="17" spans="1:5">
      <c r="A17" s="5">
        <f t="shared" si="0"/>
        <v>12</v>
      </c>
      <c r="B17" s="25">
        <v>11637.591572133057</v>
      </c>
      <c r="C17" s="22"/>
      <c r="D17" s="5">
        <v>38</v>
      </c>
      <c r="E17" s="6">
        <v>6.8499999999999995E-4</v>
      </c>
    </row>
    <row r="18" spans="1:5">
      <c r="A18" s="5">
        <f t="shared" si="0"/>
        <v>13</v>
      </c>
      <c r="B18" s="25">
        <v>13965.109886559667</v>
      </c>
      <c r="C18" s="22"/>
      <c r="D18" s="5">
        <v>39</v>
      </c>
      <c r="E18" s="6">
        <v>7.3300000000000004E-4</v>
      </c>
    </row>
    <row r="19" spans="1:5">
      <c r="A19" s="5">
        <f t="shared" si="0"/>
        <v>14</v>
      </c>
      <c r="B19" s="25">
        <v>15780.574171812423</v>
      </c>
      <c r="C19" s="22"/>
      <c r="D19" s="5">
        <v>40</v>
      </c>
      <c r="E19" s="6">
        <v>7.8799999999999996E-4</v>
      </c>
    </row>
    <row r="20" spans="1:5">
      <c r="A20" s="5">
        <f t="shared" si="0"/>
        <v>15</v>
      </c>
      <c r="B20" s="25">
        <v>17043.020105557418</v>
      </c>
      <c r="C20" s="22"/>
      <c r="D20" s="5">
        <v>41</v>
      </c>
      <c r="E20" s="6">
        <v>8.5099999999999998E-4</v>
      </c>
    </row>
    <row r="21" spans="1:5">
      <c r="A21" s="5">
        <f t="shared" si="0"/>
        <v>16</v>
      </c>
      <c r="B21" s="25">
        <v>19088.182518224308</v>
      </c>
      <c r="C21" s="22"/>
      <c r="D21" s="5">
        <v>42</v>
      </c>
      <c r="E21" s="6">
        <v>9.2199999999999997E-4</v>
      </c>
    </row>
    <row r="22" spans="1:5">
      <c r="A22" s="5">
        <f t="shared" si="0"/>
        <v>17</v>
      </c>
      <c r="B22" s="25">
        <v>21378.764420411226</v>
      </c>
      <c r="C22" s="22"/>
      <c r="D22" s="5">
        <v>43</v>
      </c>
      <c r="E22" s="6">
        <v>1.003E-3</v>
      </c>
    </row>
    <row r="23" spans="1:5">
      <c r="A23" s="5">
        <f t="shared" si="0"/>
        <v>18</v>
      </c>
      <c r="B23" s="25">
        <v>23944.216150860575</v>
      </c>
      <c r="C23" s="22"/>
      <c r="D23" s="5">
        <v>44</v>
      </c>
      <c r="E23" s="6">
        <v>1.096E-3</v>
      </c>
    </row>
    <row r="24" spans="1:5">
      <c r="A24" s="5">
        <f t="shared" si="0"/>
        <v>19</v>
      </c>
      <c r="B24" s="25">
        <v>26817.522088963848</v>
      </c>
      <c r="C24" s="22"/>
      <c r="D24" s="5">
        <v>45</v>
      </c>
      <c r="E24" s="6">
        <v>1.201E-3</v>
      </c>
    </row>
    <row r="25" spans="1:5">
      <c r="A25" s="5">
        <f t="shared" si="0"/>
        <v>20</v>
      </c>
      <c r="B25" s="25">
        <v>30035.624739639512</v>
      </c>
      <c r="C25" s="22"/>
      <c r="D25" s="5">
        <v>46</v>
      </c>
      <c r="E25" s="6">
        <v>1.32E-3</v>
      </c>
    </row>
    <row r="26" spans="1:5">
      <c r="D26" s="5">
        <v>47</v>
      </c>
      <c r="E26" s="6">
        <v>1.4549999999999999E-3</v>
      </c>
    </row>
    <row r="27" spans="1:5">
      <c r="D27" s="5">
        <v>48</v>
      </c>
      <c r="E27" s="6">
        <v>1.6069999999999999E-3</v>
      </c>
    </row>
    <row r="28" spans="1:5">
      <c r="D28" s="5">
        <v>49</v>
      </c>
      <c r="E28" s="6">
        <v>1.7780000000000001E-3</v>
      </c>
    </row>
    <row r="29" spans="1:5">
      <c r="D29" s="5">
        <v>50</v>
      </c>
      <c r="E29" s="6">
        <v>1.9710000000000001E-3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2:G19"/>
  <sheetViews>
    <sheetView workbookViewId="0">
      <selection activeCell="G10" sqref="G10"/>
    </sheetView>
  </sheetViews>
  <sheetFormatPr defaultRowHeight="15"/>
  <cols>
    <col min="3" max="3" width="32.28515625" bestFit="1" customWidth="1"/>
    <col min="4" max="4" width="11" bestFit="1" customWidth="1"/>
    <col min="6" max="6" width="13.7109375" bestFit="1" customWidth="1"/>
    <col min="7" max="7" width="28.85546875" bestFit="1" customWidth="1"/>
  </cols>
  <sheetData>
    <row r="2" spans="3:7">
      <c r="C2" t="s">
        <v>45</v>
      </c>
      <c r="D2" s="10">
        <f>G18</f>
        <v>478892.55610635364</v>
      </c>
      <c r="E2" s="28" t="s">
        <v>24</v>
      </c>
      <c r="F2" s="28"/>
    </row>
    <row r="5" spans="3:7">
      <c r="D5" s="28" t="s">
        <v>24</v>
      </c>
      <c r="E5" s="28" t="s">
        <v>60</v>
      </c>
      <c r="F5" s="28" t="s">
        <v>24</v>
      </c>
      <c r="G5" s="28" t="s">
        <v>61</v>
      </c>
    </row>
    <row r="6" spans="3:7">
      <c r="C6" t="s">
        <v>40</v>
      </c>
      <c r="D6" t="s">
        <v>41</v>
      </c>
      <c r="E6" t="s">
        <v>42</v>
      </c>
      <c r="F6" t="s">
        <v>58</v>
      </c>
      <c r="G6" t="s">
        <v>43</v>
      </c>
    </row>
    <row r="8" spans="3:7">
      <c r="C8">
        <v>1</v>
      </c>
      <c r="D8">
        <v>50000</v>
      </c>
      <c r="E8" s="11">
        <f>Ques_3_Data!B6/Ques_3_Data!B5-1</f>
        <v>4.0000000000000036E-2</v>
      </c>
      <c r="F8" s="11">
        <f>IF(C8&lt;=5,90%,95%)*E8</f>
        <v>3.6000000000000032E-2</v>
      </c>
      <c r="G8" s="9">
        <f>(G7+D8)*(1+F8)</f>
        <v>51800</v>
      </c>
    </row>
    <row r="9" spans="3:7">
      <c r="C9">
        <f t="shared" ref="C9:C19" si="0">C8+1</f>
        <v>2</v>
      </c>
      <c r="D9">
        <v>50000</v>
      </c>
      <c r="E9" s="11">
        <f>Ques_3_Data!B7/Ques_3_Data!B6-1</f>
        <v>4.4999999999999929E-2</v>
      </c>
      <c r="F9" s="11">
        <f t="shared" ref="F9:F19" si="1">IF(C9&lt;=5,90%,95%)*E9</f>
        <v>4.0499999999999939E-2</v>
      </c>
      <c r="G9" s="9">
        <f t="shared" ref="G9:G18" si="2">(G8+D9)*(1+F9)</f>
        <v>105922.9</v>
      </c>
    </row>
    <row r="10" spans="3:7">
      <c r="C10">
        <f t="shared" si="0"/>
        <v>3</v>
      </c>
      <c r="D10">
        <v>50000</v>
      </c>
      <c r="E10" s="11">
        <f>Ques_3_Data!B8/Ques_3_Data!B7-1</f>
        <v>0.12000000000000011</v>
      </c>
      <c r="F10" s="11">
        <f t="shared" si="1"/>
        <v>0.1080000000000001</v>
      </c>
      <c r="G10" s="9">
        <f t="shared" si="2"/>
        <v>172762.57320000001</v>
      </c>
    </row>
    <row r="11" spans="3:7">
      <c r="C11">
        <f t="shared" si="0"/>
        <v>4</v>
      </c>
      <c r="D11">
        <v>0</v>
      </c>
      <c r="E11" s="11">
        <f>Ques_3_Data!B9/Ques_3_Data!B8-1</f>
        <v>0.14999999999999991</v>
      </c>
      <c r="F11" s="11">
        <f t="shared" si="1"/>
        <v>0.13499999999999993</v>
      </c>
      <c r="G11" s="9">
        <f t="shared" si="2"/>
        <v>196085.52058200003</v>
      </c>
    </row>
    <row r="12" spans="3:7">
      <c r="C12">
        <f t="shared" si="0"/>
        <v>5</v>
      </c>
      <c r="D12">
        <v>0</v>
      </c>
      <c r="E12" s="11">
        <f>Ques_3_Data!B10/Ques_3_Data!B9-1</f>
        <v>0.10000000000000009</v>
      </c>
      <c r="F12" s="11">
        <f t="shared" si="1"/>
        <v>9.000000000000008E-2</v>
      </c>
      <c r="G12" s="9">
        <f t="shared" si="2"/>
        <v>213733.21743438006</v>
      </c>
    </row>
    <row r="13" spans="3:7">
      <c r="C13">
        <f t="shared" si="0"/>
        <v>6</v>
      </c>
      <c r="D13">
        <v>0</v>
      </c>
      <c r="E13" s="11">
        <f>Ques_3_Data!B11/Ques_3_Data!B10-1</f>
        <v>-5.0000000000000044E-2</v>
      </c>
      <c r="F13" s="11">
        <f t="shared" si="1"/>
        <v>-4.7500000000000042E-2</v>
      </c>
      <c r="G13" s="9">
        <f t="shared" si="2"/>
        <v>203580.88960624699</v>
      </c>
    </row>
    <row r="14" spans="3:7">
      <c r="C14">
        <f t="shared" si="0"/>
        <v>7</v>
      </c>
      <c r="D14">
        <v>40000</v>
      </c>
      <c r="E14" s="11">
        <f>Ques_3_Data!B12/Ques_3_Data!B11-1</f>
        <v>0.12000000000000011</v>
      </c>
      <c r="F14" s="11">
        <f t="shared" si="1"/>
        <v>0.1140000000000001</v>
      </c>
      <c r="G14" s="9">
        <f t="shared" si="2"/>
        <v>271349.11102135916</v>
      </c>
    </row>
    <row r="15" spans="3:7">
      <c r="C15">
        <f t="shared" si="0"/>
        <v>8</v>
      </c>
      <c r="D15">
        <v>40000</v>
      </c>
      <c r="E15" s="11">
        <f>Ques_3_Data!B13/Ques_3_Data!B12-1</f>
        <v>0.14999999999999991</v>
      </c>
      <c r="F15" s="11">
        <f t="shared" si="1"/>
        <v>0.1424999999999999</v>
      </c>
      <c r="G15" s="9">
        <f t="shared" si="2"/>
        <v>355716.35934190277</v>
      </c>
    </row>
    <row r="16" spans="3:7">
      <c r="C16">
        <f t="shared" si="0"/>
        <v>9</v>
      </c>
      <c r="D16">
        <v>40000</v>
      </c>
      <c r="E16" s="11">
        <f>Ques_3_Data!B14/Ques_3_Data!B13-1</f>
        <v>-0.15000000000000002</v>
      </c>
      <c r="F16" s="11">
        <f t="shared" si="1"/>
        <v>-0.14250000000000002</v>
      </c>
      <c r="G16" s="9">
        <f t="shared" si="2"/>
        <v>339326.77813568158</v>
      </c>
    </row>
    <row r="17" spans="3:7">
      <c r="C17">
        <f t="shared" si="0"/>
        <v>10</v>
      </c>
      <c r="D17">
        <v>40000</v>
      </c>
      <c r="E17" s="11">
        <f>Ques_3_Data!B15/Ques_3_Data!B14-1</f>
        <v>5.0000000000000044E-2</v>
      </c>
      <c r="F17" s="11">
        <f t="shared" si="1"/>
        <v>4.7500000000000042E-2</v>
      </c>
      <c r="G17" s="9">
        <f t="shared" si="2"/>
        <v>397344.80009712651</v>
      </c>
    </row>
    <row r="18" spans="3:7">
      <c r="C18">
        <f t="shared" si="0"/>
        <v>11</v>
      </c>
      <c r="D18">
        <v>40000</v>
      </c>
      <c r="E18" s="11">
        <f>Ques_3_Data!B16/Ques_3_Data!B15-1</f>
        <v>0.10000000000000009</v>
      </c>
      <c r="F18" s="11">
        <f t="shared" si="1"/>
        <v>9.5000000000000084E-2</v>
      </c>
      <c r="G18" s="9">
        <f t="shared" si="2"/>
        <v>478892.55610635364</v>
      </c>
    </row>
    <row r="19" spans="3:7">
      <c r="C19">
        <f t="shared" si="0"/>
        <v>12</v>
      </c>
      <c r="E19" s="11">
        <f>Ques_3_Data!B17/Ques_3_Data!B16-1</f>
        <v>0.14999999999999991</v>
      </c>
      <c r="F19" s="11">
        <f t="shared" si="1"/>
        <v>0.1424999999999999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H19"/>
  <sheetViews>
    <sheetView workbookViewId="0"/>
  </sheetViews>
  <sheetFormatPr defaultRowHeight="15"/>
  <cols>
    <col min="2" max="2" width="15.85546875" bestFit="1" customWidth="1"/>
    <col min="3" max="3" width="15.28515625" bestFit="1" customWidth="1"/>
    <col min="4" max="4" width="12.140625" customWidth="1"/>
    <col min="5" max="5" width="14.28515625" customWidth="1"/>
    <col min="6" max="6" width="21.42578125" customWidth="1"/>
  </cols>
  <sheetData>
    <row r="3" spans="2:8">
      <c r="B3" t="s">
        <v>46</v>
      </c>
      <c r="C3" s="23">
        <v>5.0755251203023856E-2</v>
      </c>
      <c r="D3" t="s">
        <v>47</v>
      </c>
      <c r="H3" s="28" t="s">
        <v>44</v>
      </c>
    </row>
    <row r="6" spans="2:8">
      <c r="C6" t="s">
        <v>40</v>
      </c>
      <c r="D6" t="s">
        <v>41</v>
      </c>
      <c r="E6" t="s">
        <v>42</v>
      </c>
      <c r="F6" t="s">
        <v>43</v>
      </c>
    </row>
    <row r="8" spans="2:8">
      <c r="C8">
        <v>1</v>
      </c>
      <c r="D8">
        <v>50000</v>
      </c>
      <c r="E8" s="11">
        <f>$C$3</f>
        <v>5.0755251203023856E-2</v>
      </c>
      <c r="F8" s="9">
        <f>(F7+D8)*(1+E8)</f>
        <v>52537.76256015119</v>
      </c>
    </row>
    <row r="9" spans="2:8">
      <c r="C9">
        <f t="shared" ref="C9:C19" si="0">C8+1</f>
        <v>2</v>
      </c>
      <c r="D9">
        <v>50000</v>
      </c>
      <c r="E9" s="11">
        <f t="shared" ref="E9:E18" si="1">$C$3</f>
        <v>5.0755251203023856E-2</v>
      </c>
      <c r="F9" s="9">
        <f t="shared" ref="F9:F18" si="2">(F8+D9)*(1+E9)</f>
        <v>107742.09245668768</v>
      </c>
    </row>
    <row r="10" spans="2:8">
      <c r="C10">
        <f t="shared" si="0"/>
        <v>3</v>
      </c>
      <c r="D10">
        <v>50000</v>
      </c>
      <c r="E10" s="11">
        <f t="shared" si="1"/>
        <v>5.0755251203023856E-2</v>
      </c>
      <c r="F10" s="9">
        <f t="shared" si="2"/>
        <v>165748.33198461746</v>
      </c>
    </row>
    <row r="11" spans="2:8">
      <c r="C11">
        <f t="shared" si="0"/>
        <v>4</v>
      </c>
      <c r="D11">
        <v>0</v>
      </c>
      <c r="E11" s="11">
        <f t="shared" si="1"/>
        <v>5.0755251203023856E-2</v>
      </c>
      <c r="F11" s="9">
        <f t="shared" si="2"/>
        <v>174160.9302109789</v>
      </c>
    </row>
    <row r="12" spans="2:8">
      <c r="C12">
        <f t="shared" si="0"/>
        <v>5</v>
      </c>
      <c r="D12">
        <v>0</v>
      </c>
      <c r="E12" s="11">
        <f t="shared" si="1"/>
        <v>5.0755251203023856E-2</v>
      </c>
      <c r="F12" s="9">
        <f t="shared" si="2"/>
        <v>183000.51197358943</v>
      </c>
    </row>
    <row r="13" spans="2:8">
      <c r="C13">
        <f t="shared" si="0"/>
        <v>6</v>
      </c>
      <c r="D13">
        <v>0</v>
      </c>
      <c r="E13" s="11">
        <f t="shared" si="1"/>
        <v>5.0755251203023856E-2</v>
      </c>
      <c r="F13" s="9">
        <f t="shared" si="2"/>
        <v>192288.74892909091</v>
      </c>
    </row>
    <row r="14" spans="2:8">
      <c r="C14">
        <f t="shared" si="0"/>
        <v>7</v>
      </c>
      <c r="D14">
        <v>40000</v>
      </c>
      <c r="E14" s="11">
        <f t="shared" si="1"/>
        <v>5.0755251203023856E-2</v>
      </c>
      <c r="F14" s="9">
        <f t="shared" si="2"/>
        <v>244078.62273262304</v>
      </c>
    </row>
    <row r="15" spans="2:8">
      <c r="C15">
        <f t="shared" si="0"/>
        <v>8</v>
      </c>
      <c r="D15">
        <v>40000</v>
      </c>
      <c r="E15" s="11">
        <f t="shared" si="1"/>
        <v>5.0755251203023856E-2</v>
      </c>
      <c r="F15" s="9">
        <f t="shared" si="2"/>
        <v>298497.10459082632</v>
      </c>
    </row>
    <row r="16" spans="2:8">
      <c r="C16">
        <f t="shared" si="0"/>
        <v>9</v>
      </c>
      <c r="D16">
        <v>40000</v>
      </c>
      <c r="E16" s="11">
        <f t="shared" si="1"/>
        <v>5.0755251203023856E-2</v>
      </c>
      <c r="F16" s="9">
        <f t="shared" si="2"/>
        <v>355677.61016582994</v>
      </c>
    </row>
    <row r="17" spans="3:7">
      <c r="C17">
        <f t="shared" si="0"/>
        <v>10</v>
      </c>
      <c r="D17">
        <v>40000</v>
      </c>
      <c r="E17" s="11">
        <f t="shared" si="1"/>
        <v>5.0755251203023856E-2</v>
      </c>
      <c r="F17" s="9">
        <f t="shared" si="2"/>
        <v>415760.32666520879</v>
      </c>
    </row>
    <row r="18" spans="3:7">
      <c r="C18">
        <f t="shared" si="0"/>
        <v>11</v>
      </c>
      <c r="D18">
        <v>40000</v>
      </c>
      <c r="E18" s="11">
        <f t="shared" si="1"/>
        <v>5.0755251203023856E-2</v>
      </c>
      <c r="F18" s="9">
        <f t="shared" si="2"/>
        <v>478892.55653347366</v>
      </c>
      <c r="G18" s="10">
        <f>F18-'Q3 (i)'!G18</f>
        <v>4.2712001595646143E-4</v>
      </c>
    </row>
    <row r="19" spans="3:7">
      <c r="C19">
        <f t="shared" si="0"/>
        <v>12</v>
      </c>
      <c r="E19" s="11"/>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3:E4"/>
  <sheetViews>
    <sheetView workbookViewId="0">
      <selection activeCell="D3" sqref="D3"/>
    </sheetView>
  </sheetViews>
  <sheetFormatPr defaultRowHeight="15"/>
  <cols>
    <col min="3" max="3" width="14.42578125" bestFit="1" customWidth="1"/>
  </cols>
  <sheetData>
    <row r="3" spans="3:5">
      <c r="C3" t="s">
        <v>7</v>
      </c>
      <c r="D3" s="23">
        <f>'Q3 (ii)'!C3</f>
        <v>5.0755251203023856E-2</v>
      </c>
    </row>
    <row r="4" spans="3:5">
      <c r="C4" t="s">
        <v>48</v>
      </c>
      <c r="D4" s="24">
        <f>LN(1+D3)</f>
        <v>4.9509192466640983E-2</v>
      </c>
      <c r="E4" s="29" t="s">
        <v>44</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4:E26"/>
  <sheetViews>
    <sheetView workbookViewId="0">
      <selection activeCell="C4" sqref="C4"/>
    </sheetView>
  </sheetViews>
  <sheetFormatPr defaultRowHeight="15"/>
  <cols>
    <col min="2" max="2" width="13" customWidth="1"/>
    <col min="3" max="3" width="11.28515625" customWidth="1"/>
  </cols>
  <sheetData>
    <row r="4" spans="1:5">
      <c r="A4" t="str">
        <f>Ques_3_Data!A3</f>
        <v>Time step</v>
      </c>
      <c r="B4" t="str">
        <f>Ques_3_Data!B3</f>
        <v>Equity index</v>
      </c>
      <c r="C4" t="s">
        <v>49</v>
      </c>
      <c r="D4" s="29" t="s">
        <v>44</v>
      </c>
    </row>
    <row r="5" spans="1:5">
      <c r="A5">
        <f>Ques_3_Data!A4</f>
        <v>0</v>
      </c>
      <c r="B5" s="9">
        <f>Ques_3_Data!B4</f>
        <v>0</v>
      </c>
    </row>
    <row r="6" spans="1:5">
      <c r="A6">
        <f>Ques_3_Data!A5</f>
        <v>0</v>
      </c>
      <c r="B6" s="9">
        <f>Ques_3_Data!B5</f>
        <v>5471</v>
      </c>
    </row>
    <row r="7" spans="1:5">
      <c r="A7">
        <f>Ques_3_Data!A6</f>
        <v>1</v>
      </c>
      <c r="B7" s="9">
        <f>Ques_3_Data!B6</f>
        <v>5689.84</v>
      </c>
      <c r="C7" s="24">
        <f>(B7/$B$6)^(1/A7)-1</f>
        <v>4.0000000000000036E-2</v>
      </c>
      <c r="E7" s="23"/>
    </row>
    <row r="8" spans="1:5">
      <c r="A8">
        <f>Ques_3_Data!A7</f>
        <v>2</v>
      </c>
      <c r="B8" s="9">
        <f>Ques_3_Data!B7</f>
        <v>5945.8827999999994</v>
      </c>
      <c r="C8" s="24">
        <f t="shared" ref="C8:C26" si="0">(B8/$B$6)^(1/A8)-1</f>
        <v>4.2497002393771854E-2</v>
      </c>
      <c r="E8" s="23"/>
    </row>
    <row r="9" spans="1:5">
      <c r="A9">
        <f>Ques_3_Data!A8</f>
        <v>3</v>
      </c>
      <c r="B9" s="9">
        <f>Ques_3_Data!B8</f>
        <v>6659.3887359999999</v>
      </c>
      <c r="C9" s="24">
        <f t="shared" si="0"/>
        <v>6.7716327845487978E-2</v>
      </c>
      <c r="E9" s="23"/>
    </row>
    <row r="10" spans="1:5">
      <c r="A10">
        <f>Ques_3_Data!A9</f>
        <v>4</v>
      </c>
      <c r="B10" s="9">
        <f>Ques_3_Data!B9</f>
        <v>7658.2970463999991</v>
      </c>
      <c r="C10" s="24">
        <f t="shared" si="0"/>
        <v>8.7718144559485456E-2</v>
      </c>
      <c r="E10" s="23"/>
    </row>
    <row r="11" spans="1:5">
      <c r="A11">
        <f>Ques_3_Data!A10</f>
        <v>5</v>
      </c>
      <c r="B11" s="9">
        <f>Ques_3_Data!B10</f>
        <v>8424.1267510399994</v>
      </c>
      <c r="C11" s="24">
        <f t="shared" si="0"/>
        <v>9.0163495878234912E-2</v>
      </c>
      <c r="E11" s="23"/>
    </row>
    <row r="12" spans="1:5">
      <c r="A12">
        <f>Ques_3_Data!A11</f>
        <v>6</v>
      </c>
      <c r="B12" s="9">
        <f>Ques_3_Data!B11</f>
        <v>8002.9204134879992</v>
      </c>
      <c r="C12" s="24">
        <f t="shared" si="0"/>
        <v>6.5443188402858565E-2</v>
      </c>
      <c r="E12" s="23"/>
    </row>
    <row r="13" spans="1:5">
      <c r="A13">
        <f>Ques_3_Data!A12</f>
        <v>7</v>
      </c>
      <c r="B13" s="9">
        <f>Ques_3_Data!B12</f>
        <v>8963.2708631065598</v>
      </c>
      <c r="C13" s="24">
        <f t="shared" si="0"/>
        <v>7.3071211461629648E-2</v>
      </c>
      <c r="E13" s="23"/>
    </row>
    <row r="14" spans="1:5">
      <c r="A14">
        <f>Ques_3_Data!A13</f>
        <v>8</v>
      </c>
      <c r="B14" s="9">
        <f>Ques_3_Data!B13</f>
        <v>10307.761492572543</v>
      </c>
      <c r="C14" s="24">
        <f t="shared" si="0"/>
        <v>8.2398559915873859E-2</v>
      </c>
    </row>
    <row r="15" spans="1:5">
      <c r="A15">
        <f>Ques_3_Data!A14</f>
        <v>9</v>
      </c>
      <c r="B15" s="9">
        <f>Ques_3_Data!B14</f>
        <v>8761.5972686866608</v>
      </c>
      <c r="C15" s="24">
        <f t="shared" si="0"/>
        <v>5.3717186366872838E-2</v>
      </c>
    </row>
    <row r="16" spans="1:5">
      <c r="A16">
        <f>Ques_3_Data!A15</f>
        <v>10</v>
      </c>
      <c r="B16" s="9">
        <f>Ques_3_Data!B15</f>
        <v>9199.6771321209944</v>
      </c>
      <c r="C16" s="24">
        <f t="shared" si="0"/>
        <v>5.3344876319967094E-2</v>
      </c>
    </row>
    <row r="17" spans="1:3">
      <c r="A17">
        <f>Ques_3_Data!A16</f>
        <v>11</v>
      </c>
      <c r="B17" s="9">
        <f>Ques_3_Data!B16</f>
        <v>10119.644845333094</v>
      </c>
      <c r="C17" s="24">
        <f t="shared" si="0"/>
        <v>5.7503191972996248E-2</v>
      </c>
    </row>
    <row r="18" spans="1:3">
      <c r="A18">
        <f>Ques_3_Data!A17</f>
        <v>12</v>
      </c>
      <c r="B18" s="9">
        <f>Ques_3_Data!B17</f>
        <v>11637.591572133057</v>
      </c>
      <c r="C18" s="24">
        <f t="shared" si="0"/>
        <v>6.4918486800671582E-2</v>
      </c>
    </row>
    <row r="19" spans="1:3">
      <c r="A19">
        <f>Ques_3_Data!A18</f>
        <v>13</v>
      </c>
      <c r="B19" s="9">
        <f>Ques_3_Data!B18</f>
        <v>13965.109886559667</v>
      </c>
      <c r="C19" s="24">
        <f t="shared" si="0"/>
        <v>7.4746334271351689E-2</v>
      </c>
    </row>
    <row r="20" spans="1:3">
      <c r="A20">
        <f>Ques_3_Data!A19</f>
        <v>14</v>
      </c>
      <c r="B20" s="9">
        <f>Ques_3_Data!B19</f>
        <v>15780.574171812423</v>
      </c>
      <c r="C20" s="24">
        <f t="shared" si="0"/>
        <v>7.8601820587937743E-2</v>
      </c>
    </row>
    <row r="21" spans="1:3">
      <c r="A21">
        <f>Ques_3_Data!A20</f>
        <v>15</v>
      </c>
      <c r="B21" s="9">
        <f>Ques_3_Data!B20</f>
        <v>17043.020105557418</v>
      </c>
      <c r="C21" s="24">
        <f t="shared" si="0"/>
        <v>7.8694976208647738E-2</v>
      </c>
    </row>
    <row r="22" spans="1:3">
      <c r="A22">
        <f>Ques_3_Data!A21</f>
        <v>16</v>
      </c>
      <c r="B22" s="9">
        <f>Ques_3_Data!B21</f>
        <v>19088.182518224308</v>
      </c>
      <c r="C22" s="24">
        <f t="shared" si="0"/>
        <v>8.123131777924808E-2</v>
      </c>
    </row>
    <row r="23" spans="1:3">
      <c r="A23">
        <f>Ques_3_Data!A22</f>
        <v>17</v>
      </c>
      <c r="B23" s="9">
        <f>Ques_3_Data!B22</f>
        <v>21378.764420411226</v>
      </c>
      <c r="C23" s="24">
        <f t="shared" si="0"/>
        <v>8.3474218332966199E-2</v>
      </c>
    </row>
    <row r="24" spans="1:3">
      <c r="A24">
        <f>Ques_3_Data!A23</f>
        <v>18</v>
      </c>
      <c r="B24" s="9">
        <f>Ques_3_Data!B23</f>
        <v>23944.216150860575</v>
      </c>
      <c r="C24" s="24">
        <f t="shared" si="0"/>
        <v>8.5471813351845505E-2</v>
      </c>
    </row>
    <row r="25" spans="1:3">
      <c r="A25">
        <f>Ques_3_Data!A24</f>
        <v>19</v>
      </c>
      <c r="B25" s="9">
        <f>Ques_3_Data!B24</f>
        <v>26817.522088963848</v>
      </c>
      <c r="C25" s="24">
        <f t="shared" si="0"/>
        <v>8.7262256848235298E-2</v>
      </c>
    </row>
    <row r="26" spans="1:3">
      <c r="A26">
        <f>Ques_3_Data!A25</f>
        <v>20</v>
      </c>
      <c r="B26" s="9">
        <f>Ques_3_Data!B25</f>
        <v>30035.624739639512</v>
      </c>
      <c r="C26" s="24">
        <f t="shared" si="0"/>
        <v>8.887618089936633E-2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M19"/>
  <sheetViews>
    <sheetView workbookViewId="0">
      <selection activeCell="F13" sqref="F13"/>
    </sheetView>
  </sheetViews>
  <sheetFormatPr defaultRowHeight="15"/>
  <cols>
    <col min="3" max="3" width="32.28515625" bestFit="1" customWidth="1"/>
    <col min="4" max="4" width="11" bestFit="1" customWidth="1"/>
    <col min="6" max="6" width="22.7109375" customWidth="1"/>
    <col min="7" max="7" width="11.28515625" customWidth="1"/>
    <col min="8" max="8" width="15" customWidth="1"/>
    <col min="9" max="9" width="20.85546875" customWidth="1"/>
    <col min="12" max="12" width="19.5703125" customWidth="1"/>
  </cols>
  <sheetData>
    <row r="2" spans="1:12">
      <c r="C2" t="s">
        <v>45</v>
      </c>
      <c r="D2" s="10">
        <f>I18</f>
        <v>466437.13752457028</v>
      </c>
      <c r="E2" s="28" t="s">
        <v>23</v>
      </c>
    </row>
    <row r="3" spans="1:12">
      <c r="C3" t="s">
        <v>46</v>
      </c>
      <c r="D3" s="27">
        <v>4.6592440380007261E-2</v>
      </c>
      <c r="E3" s="28" t="s">
        <v>44</v>
      </c>
    </row>
    <row r="4" spans="1:12">
      <c r="C4" t="s">
        <v>57</v>
      </c>
      <c r="K4" s="28" t="s">
        <v>23</v>
      </c>
    </row>
    <row r="5" spans="1:12">
      <c r="F5" s="28" t="s">
        <v>23</v>
      </c>
      <c r="G5" s="28" t="s">
        <v>23</v>
      </c>
      <c r="H5" s="28" t="s">
        <v>23</v>
      </c>
      <c r="I5" s="28" t="s">
        <v>23</v>
      </c>
    </row>
    <row r="6" spans="1:12" ht="45">
      <c r="A6" s="26" t="s">
        <v>51</v>
      </c>
      <c r="B6" s="26" t="s">
        <v>52</v>
      </c>
      <c r="C6" s="26" t="s">
        <v>40</v>
      </c>
      <c r="D6" s="26" t="s">
        <v>41</v>
      </c>
      <c r="E6" s="26" t="s">
        <v>42</v>
      </c>
      <c r="F6" s="26" t="s">
        <v>50</v>
      </c>
      <c r="G6" s="26" t="s">
        <v>53</v>
      </c>
      <c r="H6" s="26" t="s">
        <v>54</v>
      </c>
      <c r="I6" s="26" t="s">
        <v>55</v>
      </c>
      <c r="L6" s="26" t="s">
        <v>56</v>
      </c>
    </row>
    <row r="8" spans="1:12">
      <c r="A8">
        <f>35</f>
        <v>35</v>
      </c>
      <c r="B8">
        <f>A8+1</f>
        <v>36</v>
      </c>
      <c r="C8">
        <v>1</v>
      </c>
      <c r="D8">
        <v>50000</v>
      </c>
      <c r="E8" s="11">
        <f>'Q3 (i)'!F8</f>
        <v>3.6000000000000032E-2</v>
      </c>
      <c r="F8" s="9">
        <f>(F7+D8)*(1+E8)</f>
        <v>51800</v>
      </c>
      <c r="G8">
        <f>VLOOKUP(B8,Ques_3_Data!$D$4:$E$29,2,FALSE)</f>
        <v>6.0800000000000003E-4</v>
      </c>
      <c r="H8" s="13">
        <f>4*F8*G8</f>
        <v>125.97760000000001</v>
      </c>
      <c r="I8" s="9">
        <f>F8-H8</f>
        <v>51674.022400000002</v>
      </c>
      <c r="K8" s="22">
        <f>$D$3</f>
        <v>4.6592440380007261E-2</v>
      </c>
      <c r="L8" s="9">
        <f>(L7+D8)*(1+K8)</f>
        <v>52329.622019000366</v>
      </c>
    </row>
    <row r="9" spans="1:12">
      <c r="A9">
        <f>A8+1</f>
        <v>36</v>
      </c>
      <c r="B9">
        <f>B8+1</f>
        <v>37</v>
      </c>
      <c r="C9">
        <f t="shared" ref="C9:C18" si="0">C8+1</f>
        <v>2</v>
      </c>
      <c r="D9">
        <v>50000</v>
      </c>
      <c r="E9" s="11">
        <f>'Q3 (i)'!F9</f>
        <v>4.0499999999999939E-2</v>
      </c>
      <c r="F9" s="9">
        <f>(I8+D9)*(1+E9)</f>
        <v>105791.8203072</v>
      </c>
      <c r="G9">
        <f>VLOOKUP(B9,Ques_3_Data!$D$4:$E$29,2,FALSE)</f>
        <v>6.4400000000000004E-4</v>
      </c>
      <c r="H9" s="13">
        <f t="shared" ref="H9:H18" si="1">4*F9*G9</f>
        <v>272.5197291113472</v>
      </c>
      <c r="I9" s="9">
        <f t="shared" ref="I9:I18" si="2">F9-H9</f>
        <v>105519.30057808866</v>
      </c>
      <c r="K9" s="22">
        <f t="shared" ref="K9:K18" si="3">$D$3</f>
        <v>4.6592440380007261E-2</v>
      </c>
      <c r="L9" s="9">
        <f t="shared" ref="L9:L18" si="4">(L8+D9)*(1+K9)</f>
        <v>107097.40883202932</v>
      </c>
    </row>
    <row r="10" spans="1:12">
      <c r="A10">
        <f t="shared" ref="A10:B18" si="5">A9+1</f>
        <v>37</v>
      </c>
      <c r="B10">
        <f t="shared" si="5"/>
        <v>38</v>
      </c>
      <c r="C10">
        <f t="shared" si="0"/>
        <v>3</v>
      </c>
      <c r="D10">
        <v>50000</v>
      </c>
      <c r="E10" s="11">
        <f>'Q3 (i)'!F10</f>
        <v>0.1080000000000001</v>
      </c>
      <c r="F10" s="9">
        <f t="shared" ref="F10:F18" si="6">(I9+D10)*(1+E10)</f>
        <v>172315.38504052226</v>
      </c>
      <c r="G10">
        <f>VLOOKUP(B10,Ques_3_Data!$D$4:$E$29,2,FALSE)</f>
        <v>6.8499999999999995E-4</v>
      </c>
      <c r="H10" s="13">
        <f t="shared" si="1"/>
        <v>472.14415501103099</v>
      </c>
      <c r="I10" s="9">
        <f t="shared" si="2"/>
        <v>171843.24088551124</v>
      </c>
      <c r="K10" s="22">
        <f t="shared" si="3"/>
        <v>4.6592440380007261E-2</v>
      </c>
      <c r="L10" s="9">
        <f t="shared" si="4"/>
        <v>164416.96048688929</v>
      </c>
    </row>
    <row r="11" spans="1:12">
      <c r="A11">
        <f t="shared" si="5"/>
        <v>38</v>
      </c>
      <c r="B11">
        <f t="shared" si="5"/>
        <v>39</v>
      </c>
      <c r="C11">
        <f t="shared" si="0"/>
        <v>4</v>
      </c>
      <c r="D11">
        <v>0</v>
      </c>
      <c r="E11" s="11">
        <f>'Q3 (i)'!F11</f>
        <v>0.13499999999999993</v>
      </c>
      <c r="F11" s="9">
        <f t="shared" si="6"/>
        <v>195042.07840505528</v>
      </c>
      <c r="G11">
        <f>VLOOKUP(B11,Ques_3_Data!$D$4:$E$29,2,FALSE)</f>
        <v>7.3300000000000004E-4</v>
      </c>
      <c r="H11" s="13">
        <f t="shared" si="1"/>
        <v>571.8633738836221</v>
      </c>
      <c r="I11" s="9">
        <f t="shared" si="2"/>
        <v>194470.21503117165</v>
      </c>
      <c r="K11" s="22">
        <f t="shared" si="3"/>
        <v>4.6592440380007261E-2</v>
      </c>
      <c r="L11" s="9">
        <f t="shared" si="4"/>
        <v>172077.54791583671</v>
      </c>
    </row>
    <row r="12" spans="1:12">
      <c r="A12">
        <f t="shared" si="5"/>
        <v>39</v>
      </c>
      <c r="B12">
        <f t="shared" si="5"/>
        <v>40</v>
      </c>
      <c r="C12">
        <f t="shared" si="0"/>
        <v>5</v>
      </c>
      <c r="D12">
        <v>0</v>
      </c>
      <c r="E12" s="11">
        <f>'Q3 (i)'!F12</f>
        <v>9.000000000000008E-2</v>
      </c>
      <c r="F12" s="9">
        <f t="shared" si="6"/>
        <v>211972.53438397712</v>
      </c>
      <c r="G12">
        <f>VLOOKUP(B12,Ques_3_Data!$D$4:$E$29,2,FALSE)</f>
        <v>7.8799999999999996E-4</v>
      </c>
      <c r="H12" s="13">
        <f t="shared" si="1"/>
        <v>668.13742837829591</v>
      </c>
      <c r="I12" s="9">
        <f t="shared" si="2"/>
        <v>211304.39695559882</v>
      </c>
      <c r="K12" s="22">
        <f t="shared" si="3"/>
        <v>4.6592440380007261E-2</v>
      </c>
      <c r="L12" s="9">
        <f t="shared" si="4"/>
        <v>180095.06080784317</v>
      </c>
    </row>
    <row r="13" spans="1:12">
      <c r="A13">
        <f t="shared" si="5"/>
        <v>40</v>
      </c>
      <c r="B13">
        <f t="shared" si="5"/>
        <v>41</v>
      </c>
      <c r="C13">
        <f t="shared" si="0"/>
        <v>6</v>
      </c>
      <c r="D13">
        <v>0</v>
      </c>
      <c r="E13" s="11">
        <f>'Q3 (i)'!F13</f>
        <v>-4.7500000000000042E-2</v>
      </c>
      <c r="F13" s="9">
        <f t="shared" si="6"/>
        <v>201267.43810020786</v>
      </c>
      <c r="G13">
        <f>VLOOKUP(B13,Ques_3_Data!$D$4:$E$29,2,FALSE)</f>
        <v>8.5099999999999998E-4</v>
      </c>
      <c r="H13" s="13">
        <f t="shared" si="1"/>
        <v>685.11435929310755</v>
      </c>
      <c r="I13" s="9">
        <f t="shared" si="2"/>
        <v>200582.32374091476</v>
      </c>
      <c r="K13" s="22">
        <f t="shared" si="3"/>
        <v>4.6592440380007261E-2</v>
      </c>
      <c r="L13" s="9">
        <f t="shared" si="4"/>
        <v>188486.1291912664</v>
      </c>
    </row>
    <row r="14" spans="1:12">
      <c r="A14">
        <f t="shared" si="5"/>
        <v>41</v>
      </c>
      <c r="B14">
        <f t="shared" si="5"/>
        <v>42</v>
      </c>
      <c r="C14">
        <f t="shared" si="0"/>
        <v>7</v>
      </c>
      <c r="D14">
        <v>40000</v>
      </c>
      <c r="E14" s="11">
        <f>'Q3 (i)'!F14</f>
        <v>0.1140000000000001</v>
      </c>
      <c r="F14" s="9">
        <f t="shared" si="6"/>
        <v>268008.70864737907</v>
      </c>
      <c r="G14">
        <f>VLOOKUP(B14,Ques_3_Data!$D$4:$E$29,2,FALSE)</f>
        <v>9.2199999999999997E-4</v>
      </c>
      <c r="H14" s="13">
        <f t="shared" si="1"/>
        <v>988.41611749153401</v>
      </c>
      <c r="I14" s="9">
        <f t="shared" si="2"/>
        <v>267020.29252988752</v>
      </c>
      <c r="K14" s="22">
        <f t="shared" si="3"/>
        <v>4.6592440380007261E-2</v>
      </c>
      <c r="L14" s="9">
        <f t="shared" si="4"/>
        <v>239131.85554326914</v>
      </c>
    </row>
    <row r="15" spans="1:12">
      <c r="A15">
        <f t="shared" si="5"/>
        <v>42</v>
      </c>
      <c r="B15">
        <f t="shared" si="5"/>
        <v>43</v>
      </c>
      <c r="C15">
        <f t="shared" si="0"/>
        <v>8</v>
      </c>
      <c r="D15">
        <v>40000</v>
      </c>
      <c r="E15" s="11">
        <f>'Q3 (i)'!F15</f>
        <v>0.1424999999999999</v>
      </c>
      <c r="F15" s="9">
        <f t="shared" si="6"/>
        <v>350770.68421539647</v>
      </c>
      <c r="G15">
        <f>VLOOKUP(B15,Ques_3_Data!$D$4:$E$29,2,FALSE)</f>
        <v>1.003E-3</v>
      </c>
      <c r="H15" s="13">
        <f t="shared" si="1"/>
        <v>1407.2919850721705</v>
      </c>
      <c r="I15" s="9">
        <f t="shared" si="2"/>
        <v>349363.39223032427</v>
      </c>
      <c r="K15" s="22">
        <f t="shared" si="3"/>
        <v>4.6592440380007261E-2</v>
      </c>
      <c r="L15" s="9">
        <f t="shared" si="4"/>
        <v>292137.28988082969</v>
      </c>
    </row>
    <row r="16" spans="1:12">
      <c r="A16">
        <f t="shared" si="5"/>
        <v>43</v>
      </c>
      <c r="B16">
        <f t="shared" si="5"/>
        <v>44</v>
      </c>
      <c r="C16">
        <f t="shared" si="0"/>
        <v>9</v>
      </c>
      <c r="D16">
        <v>40000</v>
      </c>
      <c r="E16" s="11">
        <f>'Q3 (i)'!F16</f>
        <v>-0.14250000000000002</v>
      </c>
      <c r="F16" s="9">
        <f t="shared" si="6"/>
        <v>333879.10883750301</v>
      </c>
      <c r="G16">
        <f>VLOOKUP(B16,Ques_3_Data!$D$4:$E$29,2,FALSE)</f>
        <v>1.096E-3</v>
      </c>
      <c r="H16" s="13">
        <f t="shared" si="1"/>
        <v>1463.726013143613</v>
      </c>
      <c r="I16" s="9">
        <f t="shared" si="2"/>
        <v>332415.3828243594</v>
      </c>
      <c r="K16" s="22">
        <f t="shared" si="3"/>
        <v>4.6592440380007261E-2</v>
      </c>
      <c r="L16" s="9">
        <f t="shared" si="4"/>
        <v>347612.37675757945</v>
      </c>
    </row>
    <row r="17" spans="1:13">
      <c r="A17">
        <f t="shared" si="5"/>
        <v>44</v>
      </c>
      <c r="B17">
        <f t="shared" si="5"/>
        <v>45</v>
      </c>
      <c r="C17">
        <f t="shared" si="0"/>
        <v>10</v>
      </c>
      <c r="D17">
        <v>40000</v>
      </c>
      <c r="E17" s="11">
        <f>'Q3 (i)'!F17</f>
        <v>4.7500000000000042E-2</v>
      </c>
      <c r="F17" s="9">
        <f t="shared" si="6"/>
        <v>390105.11350851652</v>
      </c>
      <c r="G17">
        <f>VLOOKUP(B17,Ques_3_Data!$D$4:$E$29,2,FALSE)</f>
        <v>1.201E-3</v>
      </c>
      <c r="H17" s="13">
        <f t="shared" si="1"/>
        <v>1874.0649652949135</v>
      </c>
      <c r="I17" s="9">
        <f t="shared" si="2"/>
        <v>388231.04854322161</v>
      </c>
      <c r="K17" s="22">
        <f t="shared" si="3"/>
        <v>4.6592440380007261E-2</v>
      </c>
      <c r="L17" s="9">
        <f t="shared" si="4"/>
        <v>405672.18331220991</v>
      </c>
    </row>
    <row r="18" spans="1:13">
      <c r="A18">
        <f t="shared" si="5"/>
        <v>45</v>
      </c>
      <c r="B18">
        <f t="shared" si="5"/>
        <v>46</v>
      </c>
      <c r="C18">
        <f t="shared" si="0"/>
        <v>11</v>
      </c>
      <c r="D18">
        <v>40000</v>
      </c>
      <c r="E18" s="11">
        <f>'Q3 (i)'!F18</f>
        <v>9.5000000000000084E-2</v>
      </c>
      <c r="F18" s="9">
        <f t="shared" si="6"/>
        <v>468912.99815482774</v>
      </c>
      <c r="G18">
        <f>VLOOKUP(B18,Ques_3_Data!$D$4:$E$29,2,FALSE)</f>
        <v>1.32E-3</v>
      </c>
      <c r="H18" s="13">
        <f t="shared" si="1"/>
        <v>2475.8606302574904</v>
      </c>
      <c r="I18" s="9">
        <f t="shared" si="2"/>
        <v>466437.13752457028</v>
      </c>
      <c r="K18" s="22">
        <f t="shared" si="3"/>
        <v>4.6592440380007261E-2</v>
      </c>
      <c r="L18" s="9">
        <f t="shared" si="4"/>
        <v>466437.13794221176</v>
      </c>
      <c r="M18" s="10">
        <f>I18-L18</f>
        <v>-4.176414804533124E-4</v>
      </c>
    </row>
    <row r="19" spans="1:13">
      <c r="E19"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2"/>
  <sheetViews>
    <sheetView workbookViewId="0">
      <selection activeCell="M3" sqref="M3"/>
    </sheetView>
  </sheetViews>
  <sheetFormatPr defaultColWidth="9.140625" defaultRowHeight="15"/>
  <cols>
    <col min="1" max="1" width="18.7109375" style="33" customWidth="1"/>
    <col min="2" max="2" width="5" style="33" customWidth="1"/>
    <col min="3" max="3" width="9.7109375" style="33" customWidth="1"/>
    <col min="4" max="4" width="9" style="33" customWidth="1"/>
    <col min="5" max="5" width="12.140625" style="33" customWidth="1"/>
    <col min="6" max="6" width="10.42578125" style="33" customWidth="1"/>
    <col min="7" max="7" width="9.5703125" style="33" customWidth="1"/>
    <col min="8" max="8" width="11" style="33" customWidth="1"/>
    <col min="9" max="10" width="10.85546875" style="33" customWidth="1"/>
    <col min="11" max="11" width="13.28515625" style="33" customWidth="1"/>
    <col min="12" max="12" width="14.5703125" style="33" customWidth="1"/>
    <col min="13" max="13" width="9.28515625" style="33" customWidth="1"/>
    <col min="14" max="14" width="19.140625" style="33" customWidth="1"/>
    <col min="15" max="15" width="14.140625" style="33" customWidth="1"/>
    <col min="16" max="16" width="9.5703125" style="33" customWidth="1"/>
    <col min="17" max="16384" width="9.140625" style="33"/>
  </cols>
  <sheetData>
    <row r="1" spans="1:18">
      <c r="A1" s="47" t="s">
        <v>74</v>
      </c>
      <c r="B1" s="35">
        <f>Question1_Parameters!B8+5%</f>
        <v>0.12000000000000001</v>
      </c>
      <c r="C1" s="48" t="s">
        <v>24</v>
      </c>
      <c r="D1" s="48" t="s">
        <v>24</v>
      </c>
      <c r="E1" s="48" t="s">
        <v>24</v>
      </c>
      <c r="F1" s="48" t="s">
        <v>24</v>
      </c>
      <c r="G1" s="48" t="s">
        <v>24</v>
      </c>
      <c r="H1" s="48" t="s">
        <v>24</v>
      </c>
      <c r="I1" s="48" t="s">
        <v>24</v>
      </c>
      <c r="J1" s="48" t="s">
        <v>24</v>
      </c>
      <c r="K1" s="48" t="s">
        <v>24</v>
      </c>
      <c r="L1" s="48" t="s">
        <v>24</v>
      </c>
      <c r="M1" s="48" t="s">
        <v>24</v>
      </c>
      <c r="N1" s="48" t="s">
        <v>24</v>
      </c>
      <c r="O1" s="48" t="s">
        <v>24</v>
      </c>
      <c r="P1" s="48" t="s">
        <v>24</v>
      </c>
    </row>
    <row r="2" spans="1:18" ht="75">
      <c r="A2" s="47" t="s">
        <v>75</v>
      </c>
      <c r="B2" s="47" t="s">
        <v>0</v>
      </c>
      <c r="C2" s="47" t="s">
        <v>63</v>
      </c>
      <c r="D2" s="47" t="s">
        <v>9</v>
      </c>
      <c r="E2" s="47" t="s">
        <v>76</v>
      </c>
      <c r="F2" s="49" t="s">
        <v>77</v>
      </c>
      <c r="G2" s="49" t="s">
        <v>1</v>
      </c>
      <c r="H2" s="49" t="s">
        <v>78</v>
      </c>
      <c r="I2" s="49" t="s">
        <v>79</v>
      </c>
      <c r="J2" s="50" t="s">
        <v>80</v>
      </c>
      <c r="K2" s="49" t="s">
        <v>81</v>
      </c>
      <c r="L2" s="49" t="s">
        <v>82</v>
      </c>
      <c r="M2" s="49" t="s">
        <v>83</v>
      </c>
      <c r="N2" s="51" t="s">
        <v>84</v>
      </c>
      <c r="O2" s="49" t="s">
        <v>85</v>
      </c>
      <c r="P2" s="49" t="s">
        <v>86</v>
      </c>
      <c r="Q2" s="49"/>
      <c r="R2" s="49"/>
    </row>
    <row r="3" spans="1:18">
      <c r="A3" s="33">
        <v>1</v>
      </c>
      <c r="B3" s="33">
        <f>Question1_Parameters!B3</f>
        <v>50</v>
      </c>
      <c r="C3" s="34">
        <f>Question1_Parameters!$B$2</f>
        <v>52000</v>
      </c>
      <c r="D3" s="34">
        <f>Question1_Parameters!B6</f>
        <v>3000</v>
      </c>
      <c r="E3" s="34">
        <f>VLOOKUP(A3,Question1_Parameters!$A$18:$B$21,2,1)*C3</f>
        <v>18200</v>
      </c>
      <c r="F3" s="34">
        <f>(C3-D3-E3)*Question1_Parameters!$B$8</f>
        <v>2156</v>
      </c>
      <c r="G3" s="52">
        <f>VLOOKUP(B3,Question1_Parameters!$A$25:$B$55,2,0)</f>
        <v>2.5079999999999998E-3</v>
      </c>
      <c r="H3" s="52">
        <v>1</v>
      </c>
      <c r="I3" s="52">
        <f t="shared" ref="I3:I17" si="0">H3*(1-G3)</f>
        <v>0.99749200000000005</v>
      </c>
      <c r="J3" s="53">
        <f>G3*Question1_Parameters!$B$1</f>
        <v>12539.999999999998</v>
      </c>
      <c r="K3" s="34">
        <f>J3*(1+Question1_Parameters!$B$8)^0.5</f>
        <v>12971.476862716903</v>
      </c>
      <c r="L3" s="34">
        <f t="shared" ref="L3:L17" si="1">+C3-D3-E3+F3-K3</f>
        <v>19984.523137283097</v>
      </c>
      <c r="M3" s="34">
        <f>MIN(80%*(A3),120%*(Question1_Parameters!$B$4-A3))*C3*I3</f>
        <v>41495.667200000004</v>
      </c>
      <c r="N3" s="34">
        <f>M3</f>
        <v>41495.667200000004</v>
      </c>
      <c r="O3" s="34">
        <f>L3*H3-(N3)</f>
        <v>-21511.144062716907</v>
      </c>
      <c r="P3" s="52">
        <f t="shared" ref="P3:P17" si="2">(1+$B$1)^(-A3)</f>
        <v>0.89285714285714279</v>
      </c>
    </row>
    <row r="4" spans="1:18">
      <c r="A4" s="33">
        <f t="shared" ref="A4:A17" si="3">+A3+1</f>
        <v>2</v>
      </c>
      <c r="B4" s="33">
        <f t="shared" ref="B4:B17" si="4">+B3+A4-A3</f>
        <v>51</v>
      </c>
      <c r="C4" s="34">
        <f>Question1_Parameters!$B$2</f>
        <v>52000</v>
      </c>
      <c r="D4" s="34">
        <f>Question1_Parameters!B7</f>
        <v>500</v>
      </c>
      <c r="E4" s="34">
        <f>VLOOKUP(A4,Question1_Parameters!$A$18:$B$21,2,1)*C4</f>
        <v>2600</v>
      </c>
      <c r="F4" s="34">
        <f>(C4-D4-E4)*Question1_Parameters!$B$8</f>
        <v>3423.0000000000005</v>
      </c>
      <c r="G4" s="52">
        <f>VLOOKUP(B4,Question1_Parameters!$A$25:$B$55,2,0)</f>
        <v>2.8089999999999999E-3</v>
      </c>
      <c r="H4" s="52">
        <f t="shared" ref="H4:H17" si="5">I3</f>
        <v>0.99749200000000005</v>
      </c>
      <c r="I4" s="52">
        <f t="shared" si="0"/>
        <v>0.99469004497200009</v>
      </c>
      <c r="J4" s="53">
        <f>G4*Question1_Parameters!$B$1</f>
        <v>14045</v>
      </c>
      <c r="K4" s="34">
        <f>J4*(1+Question1_Parameters!$B$8)^0.5</f>
        <v>14528.260967851589</v>
      </c>
      <c r="L4" s="34">
        <f t="shared" si="1"/>
        <v>37794.739032148413</v>
      </c>
      <c r="M4" s="34">
        <f>MIN(80%*(A4),120%*(Question1_Parameters!$B$4-A4))*C4*I4</f>
        <v>82758.211741670413</v>
      </c>
      <c r="N4" s="34">
        <f>M4-M3*(1+Question1_Parameters!$B$8)</f>
        <v>38357.847837670408</v>
      </c>
      <c r="O4" s="34">
        <f t="shared" ref="O4:O17" si="6">L4*H4-(N4)</f>
        <v>-657.89801101462217</v>
      </c>
      <c r="P4" s="52">
        <f t="shared" si="2"/>
        <v>0.79719387755102034</v>
      </c>
    </row>
    <row r="5" spans="1:18">
      <c r="A5" s="33">
        <f t="shared" si="3"/>
        <v>3</v>
      </c>
      <c r="B5" s="33">
        <f t="shared" si="4"/>
        <v>52</v>
      </c>
      <c r="C5" s="34">
        <f>Question1_Parameters!$B$2</f>
        <v>52000</v>
      </c>
      <c r="D5" s="34">
        <f t="shared" ref="D5:D17" si="7">D4</f>
        <v>500</v>
      </c>
      <c r="E5" s="34">
        <f>VLOOKUP(A5,Question1_Parameters!$A$18:$B$21,2,1)*C5</f>
        <v>2600</v>
      </c>
      <c r="F5" s="34">
        <f>(C5-D5-E5)*Question1_Parameters!$B$8</f>
        <v>3423.0000000000005</v>
      </c>
      <c r="G5" s="52">
        <f>VLOOKUP(B5,Question1_Parameters!$A$25:$B$55,2,0)</f>
        <v>3.1519999999999999E-3</v>
      </c>
      <c r="H5" s="52">
        <f t="shared" si="5"/>
        <v>0.99469004497200009</v>
      </c>
      <c r="I5" s="52">
        <f t="shared" si="0"/>
        <v>0.99155478195024827</v>
      </c>
      <c r="J5" s="53">
        <f>G5*Question1_Parameters!$B$1</f>
        <v>15760</v>
      </c>
      <c r="K5" s="34">
        <f>J5*(1+Question1_Parameters!$B$8)^0.5</f>
        <v>16302.270762074835</v>
      </c>
      <c r="L5" s="34">
        <f t="shared" si="1"/>
        <v>36020.729237925167</v>
      </c>
      <c r="M5" s="34">
        <f>MIN(80%*(A5),120%*(Question1_Parameters!$B$4-A5))*C5*I5</f>
        <v>123746.036787391</v>
      </c>
      <c r="N5" s="34">
        <f>M5-M4*(1+Question1_Parameters!$B$8)</f>
        <v>35194.750223803654</v>
      </c>
      <c r="O5" s="34">
        <f t="shared" si="6"/>
        <v>634.71056179236621</v>
      </c>
      <c r="P5" s="52">
        <f t="shared" si="2"/>
        <v>0.71178024781341087</v>
      </c>
    </row>
    <row r="6" spans="1:18">
      <c r="A6" s="33">
        <f t="shared" si="3"/>
        <v>4</v>
      </c>
      <c r="B6" s="33">
        <f t="shared" si="4"/>
        <v>53</v>
      </c>
      <c r="C6" s="34">
        <f>Question1_Parameters!$B$2</f>
        <v>52000</v>
      </c>
      <c r="D6" s="34">
        <f t="shared" si="7"/>
        <v>500</v>
      </c>
      <c r="E6" s="34">
        <f>VLOOKUP(A6,Question1_Parameters!$A$18:$B$21,2,1)*C6</f>
        <v>1560</v>
      </c>
      <c r="F6" s="34">
        <f>(C6-D6-E6)*Question1_Parameters!$B$8</f>
        <v>3495.8</v>
      </c>
      <c r="G6" s="52">
        <f>VLOOKUP(B6,Question1_Parameters!$A$25:$B$55,2,0)</f>
        <v>3.539E-3</v>
      </c>
      <c r="H6" s="52">
        <f t="shared" si="5"/>
        <v>0.99155478195024827</v>
      </c>
      <c r="I6" s="52">
        <f t="shared" si="0"/>
        <v>0.98804566957692641</v>
      </c>
      <c r="J6" s="53">
        <f>G6*Question1_Parameters!$B$1</f>
        <v>17695</v>
      </c>
      <c r="K6" s="34">
        <f>J6*(1+Question1_Parameters!$B$8)^0.5</f>
        <v>18303.850325819429</v>
      </c>
      <c r="L6" s="34">
        <f t="shared" si="1"/>
        <v>35131.949674180578</v>
      </c>
      <c r="M6" s="34">
        <f>MIN(80%*(A6),120%*(Question1_Parameters!$B$4-A6))*C6*I6</f>
        <v>164410.79941760056</v>
      </c>
      <c r="N6" s="34">
        <f>M6-M5*(1+Question1_Parameters!$B$8)</f>
        <v>32002.540055092191</v>
      </c>
      <c r="O6" s="34">
        <f t="shared" si="6"/>
        <v>2832.712643577026</v>
      </c>
      <c r="P6" s="52">
        <f t="shared" si="2"/>
        <v>0.63551807840483121</v>
      </c>
    </row>
    <row r="7" spans="1:18">
      <c r="A7" s="33">
        <f t="shared" si="3"/>
        <v>5</v>
      </c>
      <c r="B7" s="33">
        <f t="shared" si="4"/>
        <v>54</v>
      </c>
      <c r="C7" s="34">
        <f>Question1_Parameters!$B$2</f>
        <v>52000</v>
      </c>
      <c r="D7" s="34">
        <f t="shared" si="7"/>
        <v>500</v>
      </c>
      <c r="E7" s="34">
        <f>VLOOKUP(A7,Question1_Parameters!$A$18:$B$21,2,1)*C7</f>
        <v>1560</v>
      </c>
      <c r="F7" s="34">
        <f>(C7-D7-E7)*Question1_Parameters!$B$8</f>
        <v>3495.8</v>
      </c>
      <c r="G7" s="52">
        <f>VLOOKUP(B7,Question1_Parameters!$A$25:$B$55,2,0)</f>
        <v>3.9760000000000004E-3</v>
      </c>
      <c r="H7" s="52">
        <f t="shared" si="5"/>
        <v>0.98804566957692641</v>
      </c>
      <c r="I7" s="52">
        <f t="shared" si="0"/>
        <v>0.98411719999468861</v>
      </c>
      <c r="J7" s="53">
        <f>G7*Question1_Parameters!$B$1</f>
        <v>19880.000000000004</v>
      </c>
      <c r="K7" s="34">
        <f>J7*(1+Question1_Parameters!$B$8)^0.5</f>
        <v>20564.031900383743</v>
      </c>
      <c r="L7" s="34">
        <f t="shared" si="1"/>
        <v>32871.76809961626</v>
      </c>
      <c r="M7" s="34">
        <f>MIN(80%*(A7),120%*(Question1_Parameters!$B$4-A7))*C7*I7</f>
        <v>204696.37759889523</v>
      </c>
      <c r="N7" s="34">
        <f>M7-M6*(1+Question1_Parameters!$B$8)</f>
        <v>28776.822222062619</v>
      </c>
      <c r="O7" s="34">
        <f t="shared" si="6"/>
        <v>3701.9859001001787</v>
      </c>
      <c r="P7" s="52">
        <f t="shared" si="2"/>
        <v>0.56742685571859919</v>
      </c>
    </row>
    <row r="8" spans="1:18">
      <c r="A8" s="33">
        <f t="shared" si="3"/>
        <v>6</v>
      </c>
      <c r="B8" s="33">
        <f t="shared" si="4"/>
        <v>55</v>
      </c>
      <c r="C8" s="34">
        <f>Question1_Parameters!$B$2</f>
        <v>52000</v>
      </c>
      <c r="D8" s="34">
        <f t="shared" si="7"/>
        <v>500</v>
      </c>
      <c r="E8" s="34">
        <f>VLOOKUP(A8,Question1_Parameters!$A$18:$B$21,2,1)*C8</f>
        <v>1560</v>
      </c>
      <c r="F8" s="34">
        <f>(C8-D8-E8)*Question1_Parameters!$B$8</f>
        <v>3495.8</v>
      </c>
      <c r="G8" s="52">
        <f>VLOOKUP(B8,Question1_Parameters!$A$25:$B$55,2,0)</f>
        <v>4.4689999999999999E-3</v>
      </c>
      <c r="H8" s="52">
        <f t="shared" si="5"/>
        <v>0.98411719999468861</v>
      </c>
      <c r="I8" s="52">
        <f t="shared" si="0"/>
        <v>0.97971918022791238</v>
      </c>
      <c r="J8" s="53">
        <f>G8*Question1_Parameters!$B$1</f>
        <v>22345</v>
      </c>
      <c r="K8" s="34">
        <f>J8*(1+Question1_Parameters!$B$8)^0.5</f>
        <v>23113.847727066128</v>
      </c>
      <c r="L8" s="34">
        <f t="shared" si="1"/>
        <v>30321.952272933875</v>
      </c>
      <c r="M8" s="34">
        <f>MIN(80%*(A8),120%*(Question1_Parameters!$B$4-A8))*C8*I8</f>
        <v>244537.90738488696</v>
      </c>
      <c r="N8" s="34">
        <f>M8-M7*(1+Question1_Parameters!$B$8)</f>
        <v>25512.783354069048</v>
      </c>
      <c r="O8" s="34">
        <f t="shared" si="6"/>
        <v>4327.5714151432221</v>
      </c>
      <c r="P8" s="52">
        <f t="shared" si="2"/>
        <v>0.50663112117732068</v>
      </c>
    </row>
    <row r="9" spans="1:18">
      <c r="A9" s="33">
        <f t="shared" si="3"/>
        <v>7</v>
      </c>
      <c r="B9" s="33">
        <f t="shared" si="4"/>
        <v>56</v>
      </c>
      <c r="C9" s="34">
        <f>Question1_Parameters!$B$2</f>
        <v>52000</v>
      </c>
      <c r="D9" s="34">
        <f t="shared" si="7"/>
        <v>500</v>
      </c>
      <c r="E9" s="34">
        <f>VLOOKUP(A9,Question1_Parameters!$A$18:$B$21,2,1)*C9</f>
        <v>1560</v>
      </c>
      <c r="F9" s="34">
        <f>(C9-D9-E9)*Question1_Parameters!$B$8</f>
        <v>3495.8</v>
      </c>
      <c r="G9" s="52">
        <f>VLOOKUP(B9,Question1_Parameters!$A$25:$B$55,2,0)</f>
        <v>5.025E-3</v>
      </c>
      <c r="H9" s="52">
        <f t="shared" si="5"/>
        <v>0.97971918022791238</v>
      </c>
      <c r="I9" s="52">
        <f t="shared" si="0"/>
        <v>0.97479609134726719</v>
      </c>
      <c r="J9" s="53">
        <f>G9*Question1_Parameters!$B$1</f>
        <v>25125</v>
      </c>
      <c r="K9" s="34">
        <f>J9*(1+Question1_Parameters!$B$8)^0.5</f>
        <v>25989.502087381359</v>
      </c>
      <c r="L9" s="34">
        <f t="shared" si="1"/>
        <v>27446.297912618644</v>
      </c>
      <c r="M9" s="34">
        <f>MIN(80%*(A9),120%*(Question1_Parameters!$B$4-A9))*C9*I9</f>
        <v>283860.62180032418</v>
      </c>
      <c r="N9" s="34">
        <f>M9-M8*(1+Question1_Parameters!$B$8)</f>
        <v>22205.06089849511</v>
      </c>
      <c r="O9" s="34">
        <f t="shared" si="6"/>
        <v>4684.603592746691</v>
      </c>
      <c r="P9" s="52">
        <f t="shared" si="2"/>
        <v>0.45234921533689343</v>
      </c>
    </row>
    <row r="10" spans="1:18">
      <c r="A10" s="33">
        <f t="shared" si="3"/>
        <v>8</v>
      </c>
      <c r="B10" s="33">
        <f t="shared" si="4"/>
        <v>57</v>
      </c>
      <c r="C10" s="34">
        <f>Question1_Parameters!$B$2</f>
        <v>52000</v>
      </c>
      <c r="D10" s="34">
        <f t="shared" si="7"/>
        <v>500</v>
      </c>
      <c r="E10" s="34">
        <f>VLOOKUP(A10,Question1_Parameters!$A$18:$B$21,2,1)*C10</f>
        <v>1560</v>
      </c>
      <c r="F10" s="34">
        <f>(C10-D10-E10)*Question1_Parameters!$B$8</f>
        <v>3495.8</v>
      </c>
      <c r="G10" s="52">
        <f>VLOOKUP(B10,Question1_Parameters!$A$25:$B$55,2,0)</f>
        <v>5.6499999999999996E-3</v>
      </c>
      <c r="H10" s="52">
        <f t="shared" si="5"/>
        <v>0.97479609134726719</v>
      </c>
      <c r="I10" s="52">
        <f t="shared" si="0"/>
        <v>0.96928849343115508</v>
      </c>
      <c r="J10" s="53">
        <f>G10*Question1_Parameters!$B$1</f>
        <v>28250</v>
      </c>
      <c r="K10" s="34">
        <f>J10*(1+Question1_Parameters!$B$8)^0.5</f>
        <v>29222.027222627796</v>
      </c>
      <c r="L10" s="34">
        <f t="shared" si="1"/>
        <v>24213.772777372207</v>
      </c>
      <c r="M10" s="34">
        <f>MIN(80%*(A10),120%*(Question1_Parameters!$B$4-A10))*C10*I10</f>
        <v>322579.2106138884</v>
      </c>
      <c r="N10" s="34">
        <f>M10-M9*(1+Question1_Parameters!$B$8)</f>
        <v>18848.34528754151</v>
      </c>
      <c r="O10" s="34">
        <f t="shared" si="6"/>
        <v>4755.1457726117806</v>
      </c>
      <c r="P10" s="52">
        <f t="shared" si="2"/>
        <v>0.4038832279793691</v>
      </c>
    </row>
    <row r="11" spans="1:18">
      <c r="A11" s="33">
        <f t="shared" si="3"/>
        <v>9</v>
      </c>
      <c r="B11" s="33">
        <f t="shared" si="4"/>
        <v>58</v>
      </c>
      <c r="C11" s="34">
        <f>Question1_Parameters!$B$2</f>
        <v>52000</v>
      </c>
      <c r="D11" s="34">
        <f t="shared" si="7"/>
        <v>500</v>
      </c>
      <c r="E11" s="34">
        <f>VLOOKUP(A11,Question1_Parameters!$A$18:$B$21,2,1)*C11</f>
        <v>1560</v>
      </c>
      <c r="F11" s="34">
        <f>(C11-D11-E11)*Question1_Parameters!$B$8</f>
        <v>3495.8</v>
      </c>
      <c r="G11" s="52">
        <f>VLOOKUP(B11,Question1_Parameters!$A$25:$B$55,2,0)</f>
        <v>6.352E-3</v>
      </c>
      <c r="H11" s="52">
        <f t="shared" si="5"/>
        <v>0.96928849343115508</v>
      </c>
      <c r="I11" s="52">
        <f t="shared" si="0"/>
        <v>0.96313157292088036</v>
      </c>
      <c r="J11" s="53">
        <f>G11*Question1_Parameters!$B$1</f>
        <v>31760</v>
      </c>
      <c r="K11" s="34">
        <f>J11*(1+Question1_Parameters!$B$8)^0.5</f>
        <v>32852.799454536595</v>
      </c>
      <c r="L11" s="34">
        <f t="shared" si="1"/>
        <v>20583.000545463408</v>
      </c>
      <c r="M11" s="34">
        <f>MIN(80%*(A11),120%*(Question1_Parameters!$B$4-A11))*C11*I11</f>
        <v>360596.46090157755</v>
      </c>
      <c r="N11" s="34">
        <f>M11-M10*(1+Question1_Parameters!$B$8)</f>
        <v>15436.70554471697</v>
      </c>
      <c r="O11" s="34">
        <f t="shared" si="6"/>
        <v>4514.1600442879026</v>
      </c>
      <c r="P11" s="52">
        <f t="shared" si="2"/>
        <v>0.36061002498157957</v>
      </c>
    </row>
    <row r="12" spans="1:18">
      <c r="A12" s="33">
        <f t="shared" si="3"/>
        <v>10</v>
      </c>
      <c r="B12" s="33">
        <f t="shared" si="4"/>
        <v>59</v>
      </c>
      <c r="C12" s="34">
        <f>Question1_Parameters!$B$2</f>
        <v>52000</v>
      </c>
      <c r="D12" s="34">
        <f t="shared" si="7"/>
        <v>500</v>
      </c>
      <c r="E12" s="34">
        <f>VLOOKUP(A12,Question1_Parameters!$A$18:$B$21,2,1)*C12</f>
        <v>1560</v>
      </c>
      <c r="F12" s="34">
        <f>(C12-D12-E12)*Question1_Parameters!$B$8</f>
        <v>3495.8</v>
      </c>
      <c r="G12" s="52">
        <f>VLOOKUP(B12,Question1_Parameters!$A$25:$B$55,2,0)</f>
        <v>7.1399999999999996E-3</v>
      </c>
      <c r="H12" s="52">
        <f t="shared" si="5"/>
        <v>0.96313157292088036</v>
      </c>
      <c r="I12" s="52">
        <f t="shared" si="0"/>
        <v>0.95625481349022523</v>
      </c>
      <c r="J12" s="53">
        <f>G12*Question1_Parameters!$B$1</f>
        <v>35700</v>
      </c>
      <c r="K12" s="34">
        <f>J12*(1+Question1_Parameters!$B$8)^0.5</f>
        <v>36928.367145055301</v>
      </c>
      <c r="L12" s="34">
        <f t="shared" si="1"/>
        <v>16507.432854944702</v>
      </c>
      <c r="M12" s="34">
        <f>MIN(80%*(A12),120%*(Question1_Parameters!$B$4-A12))*C12*I12</f>
        <v>298351.50180895027</v>
      </c>
      <c r="N12" s="34">
        <f>M12-M11*(1+Question1_Parameters!$B$8)</f>
        <v>-87486.711355737702</v>
      </c>
      <c r="O12" s="34">
        <f t="shared" si="6"/>
        <v>103385.54112620642</v>
      </c>
      <c r="P12" s="52">
        <f t="shared" si="2"/>
        <v>0.32197323659069599</v>
      </c>
    </row>
    <row r="13" spans="1:18">
      <c r="A13" s="33">
        <f t="shared" si="3"/>
        <v>11</v>
      </c>
      <c r="B13" s="33">
        <f t="shared" si="4"/>
        <v>60</v>
      </c>
      <c r="C13" s="34">
        <f>Question1_Parameters!$B$2</f>
        <v>52000</v>
      </c>
      <c r="D13" s="34">
        <f t="shared" si="7"/>
        <v>500</v>
      </c>
      <c r="E13" s="34">
        <f>VLOOKUP(A13,Question1_Parameters!$A$18:$B$21,2,1)*C13</f>
        <v>1560</v>
      </c>
      <c r="F13" s="34">
        <f>(C13-D13-E13)*Question1_Parameters!$B$8</f>
        <v>3495.8</v>
      </c>
      <c r="G13" s="52">
        <f>VLOOKUP(B13,Question1_Parameters!$A$25:$B$55,2,0)</f>
        <v>8.0219999999999996E-3</v>
      </c>
      <c r="H13" s="52">
        <f t="shared" si="5"/>
        <v>0.95625481349022523</v>
      </c>
      <c r="I13" s="52">
        <f t="shared" si="0"/>
        <v>0.94858373737640667</v>
      </c>
      <c r="J13" s="53">
        <f>G13*Question1_Parameters!$B$1</f>
        <v>40110</v>
      </c>
      <c r="K13" s="34">
        <f>J13*(1+Question1_Parameters!$B$8)^0.5</f>
        <v>41490.10661591508</v>
      </c>
      <c r="L13" s="34">
        <f t="shared" si="1"/>
        <v>11945.693384084923</v>
      </c>
      <c r="M13" s="34">
        <f>MIN(80%*(A13),120%*(Question1_Parameters!$B$4-A13))*C13*I13</f>
        <v>236766.50084915111</v>
      </c>
      <c r="N13" s="34">
        <f>M13-M12*(1+Question1_Parameters!$B$8)</f>
        <v>-82469.606086425716</v>
      </c>
      <c r="O13" s="34">
        <f t="shared" si="6"/>
        <v>93892.732885435267</v>
      </c>
      <c r="P13" s="52">
        <f t="shared" si="2"/>
        <v>0.28747610409883567</v>
      </c>
    </row>
    <row r="14" spans="1:18">
      <c r="A14" s="33">
        <f t="shared" si="3"/>
        <v>12</v>
      </c>
      <c r="B14" s="33">
        <f t="shared" si="4"/>
        <v>61</v>
      </c>
      <c r="C14" s="34">
        <f>Question1_Parameters!$B$2</f>
        <v>52000</v>
      </c>
      <c r="D14" s="34">
        <f t="shared" si="7"/>
        <v>500</v>
      </c>
      <c r="E14" s="34">
        <f>VLOOKUP(A14,Question1_Parameters!$A$18:$B$21,2,1)*C14</f>
        <v>1560</v>
      </c>
      <c r="F14" s="34">
        <f>(C14-D14-E14)*Question1_Parameters!$B$8</f>
        <v>3495.8</v>
      </c>
      <c r="G14" s="52">
        <f>VLOOKUP(B14,Question1_Parameters!$A$25:$B$55,2,0)</f>
        <v>9.0089999999999996E-3</v>
      </c>
      <c r="H14" s="52">
        <f t="shared" si="5"/>
        <v>0.94858373737640667</v>
      </c>
      <c r="I14" s="52">
        <f t="shared" si="0"/>
        <v>0.94003794648638261</v>
      </c>
      <c r="J14" s="53">
        <f>G14*Question1_Parameters!$B$1</f>
        <v>45045</v>
      </c>
      <c r="K14" s="34">
        <f>J14*(1+Question1_Parameters!$B$8)^0.5</f>
        <v>46594.910309496248</v>
      </c>
      <c r="L14" s="34">
        <f t="shared" si="1"/>
        <v>6840.8896905037545</v>
      </c>
      <c r="M14" s="34">
        <f>MIN(80%*(A14),120%*(Question1_Parameters!$B$4-A14))*C14*I14</f>
        <v>175975.1035822508</v>
      </c>
      <c r="N14" s="34">
        <f>M14-M13*(1+Question1_Parameters!$B$8)</f>
        <v>-77365.052326340898</v>
      </c>
      <c r="O14" s="34">
        <f t="shared" si="6"/>
        <v>83854.209035938678</v>
      </c>
      <c r="P14" s="52">
        <f t="shared" si="2"/>
        <v>0.25667509294538904</v>
      </c>
    </row>
    <row r="15" spans="1:18">
      <c r="A15" s="33">
        <f t="shared" si="3"/>
        <v>13</v>
      </c>
      <c r="B15" s="33">
        <f t="shared" si="4"/>
        <v>62</v>
      </c>
      <c r="C15" s="34">
        <f>Question1_Parameters!$B$2</f>
        <v>52000</v>
      </c>
      <c r="D15" s="34">
        <f t="shared" si="7"/>
        <v>500</v>
      </c>
      <c r="E15" s="34">
        <f>VLOOKUP(A15,Question1_Parameters!$A$18:$B$21,2,1)*C15</f>
        <v>1560</v>
      </c>
      <c r="F15" s="34">
        <f>(C15-D15-E15)*Question1_Parameters!$B$8</f>
        <v>3495.8</v>
      </c>
      <c r="G15" s="52">
        <f>VLOOKUP(B15,Question1_Parameters!$A$25:$B$55,2,0)</f>
        <v>1.0111999999999999E-2</v>
      </c>
      <c r="H15" s="52">
        <f t="shared" si="5"/>
        <v>0.94003794648638261</v>
      </c>
      <c r="I15" s="52">
        <f t="shared" si="0"/>
        <v>0.93053228277151234</v>
      </c>
      <c r="J15" s="53">
        <f>G15*Question1_Parameters!$B$1</f>
        <v>50560</v>
      </c>
      <c r="K15" s="34">
        <f>J15*(1+Question1_Parameters!$B$8)^0.5</f>
        <v>52299.670668179162</v>
      </c>
      <c r="L15" s="34">
        <f t="shared" si="1"/>
        <v>1136.1293318208409</v>
      </c>
      <c r="M15" s="34">
        <f>MIN(80%*(A15),120%*(Question1_Parameters!$B$4-A15))*C15*I15</f>
        <v>116130.42888988474</v>
      </c>
      <c r="N15" s="34">
        <f>M15-M14*(1+Question1_Parameters!$B$8)</f>
        <v>-72162.931943123622</v>
      </c>
      <c r="O15" s="34">
        <f t="shared" si="6"/>
        <v>73230.93662715143</v>
      </c>
      <c r="P15" s="52">
        <f t="shared" si="2"/>
        <v>0.22917419012981158</v>
      </c>
    </row>
    <row r="16" spans="1:18">
      <c r="A16" s="33">
        <f t="shared" si="3"/>
        <v>14</v>
      </c>
      <c r="B16" s="33">
        <f t="shared" si="4"/>
        <v>63</v>
      </c>
      <c r="C16" s="34">
        <f>Question1_Parameters!$B$2</f>
        <v>52000</v>
      </c>
      <c r="D16" s="34">
        <f t="shared" si="7"/>
        <v>500</v>
      </c>
      <c r="E16" s="34">
        <f>VLOOKUP(A16,Question1_Parameters!$A$18:$B$21,2,1)*C16</f>
        <v>1560</v>
      </c>
      <c r="F16" s="34">
        <f>(C16-D16-E16)*Question1_Parameters!$B$8</f>
        <v>3495.8</v>
      </c>
      <c r="G16" s="52">
        <f>VLOOKUP(B16,Question1_Parameters!$A$25:$B$55,2,0)</f>
        <v>1.1344E-2</v>
      </c>
      <c r="H16" s="52">
        <f t="shared" si="5"/>
        <v>0.93053228277151234</v>
      </c>
      <c r="I16" s="52">
        <f t="shared" si="0"/>
        <v>0.91997632455575229</v>
      </c>
      <c r="J16" s="53">
        <f>G16*Question1_Parameters!$B$1</f>
        <v>56720</v>
      </c>
      <c r="K16" s="34">
        <f>J16*(1+Question1_Parameters!$B$8)^0.5</f>
        <v>58671.624214776944</v>
      </c>
      <c r="L16" s="34">
        <f t="shared" si="1"/>
        <v>-5235.8242147769415</v>
      </c>
      <c r="M16" s="34">
        <f>MIN(80%*(A16),120%*(Question1_Parameters!$B$4-A16))*C16*I16</f>
        <v>57406.522652278945</v>
      </c>
      <c r="N16" s="34">
        <f>M16-M15*(1+Question1_Parameters!$B$8)</f>
        <v>-66853.036259897737</v>
      </c>
      <c r="O16" s="34">
        <f t="shared" si="6"/>
        <v>61980.932801130992</v>
      </c>
      <c r="P16" s="52">
        <f t="shared" si="2"/>
        <v>0.20461981261590317</v>
      </c>
    </row>
    <row r="17" spans="1:16">
      <c r="A17" s="33">
        <f t="shared" si="3"/>
        <v>15</v>
      </c>
      <c r="B17" s="33">
        <f t="shared" si="4"/>
        <v>64</v>
      </c>
      <c r="C17" s="34">
        <f>Question1_Parameters!$B$2</f>
        <v>52000</v>
      </c>
      <c r="D17" s="34">
        <f t="shared" si="7"/>
        <v>500</v>
      </c>
      <c r="E17" s="34">
        <f>VLOOKUP(A17,Question1_Parameters!$A$18:$B$21,2,1)*C17</f>
        <v>1560</v>
      </c>
      <c r="F17" s="34">
        <f>(C17-D17-E17)*Question1_Parameters!$B$8</f>
        <v>3495.8</v>
      </c>
      <c r="G17" s="52">
        <f>VLOOKUP(B17,Question1_Parameters!$A$25:$B$55,2,0)</f>
        <v>1.2716E-2</v>
      </c>
      <c r="H17" s="52">
        <f t="shared" si="5"/>
        <v>0.91997632455575229</v>
      </c>
      <c r="I17" s="52">
        <f t="shared" si="0"/>
        <v>0.90827790561270139</v>
      </c>
      <c r="J17" s="53">
        <f>G17*Question1_Parameters!$B$1</f>
        <v>63580</v>
      </c>
      <c r="K17" s="34">
        <f>J17*(1+Question1_Parameters!$B$8)^0.5</f>
        <v>65767.663391669921</v>
      </c>
      <c r="L17" s="34">
        <f t="shared" si="1"/>
        <v>-12331.863391669918</v>
      </c>
      <c r="M17" s="34">
        <f>MIN(80%*(A17),120%*(Question1_Parameters!$B$4-A17))*C17*I17</f>
        <v>0</v>
      </c>
      <c r="N17" s="34">
        <f>M17-M16*(1+Question1_Parameters!$B$8)</f>
        <v>-61424.979237938474</v>
      </c>
      <c r="O17" s="34">
        <f t="shared" si="6"/>
        <v>50079.956879946345</v>
      </c>
      <c r="P17" s="52">
        <f t="shared" si="2"/>
        <v>0.18269626126419927</v>
      </c>
    </row>
    <row r="18" spans="1:16">
      <c r="H18" s="52"/>
    </row>
    <row r="19" spans="1:16" ht="60">
      <c r="A19" s="54" t="s">
        <v>87</v>
      </c>
      <c r="C19" s="34">
        <f>SUMPRODUCT($C$3:$C$17,$H$3:$H$17,$P$3:$P$17)*(1+$B$1)</f>
        <v>388707.76049993304</v>
      </c>
      <c r="D19" s="48" t="s">
        <v>24</v>
      </c>
      <c r="H19" s="55"/>
    </row>
    <row r="20" spans="1:16" ht="60">
      <c r="A20" s="54" t="s">
        <v>88</v>
      </c>
      <c r="C20" s="34">
        <f>SUMPRODUCT($O$3:$O$17,$P$3:$P$17)</f>
        <v>112898.87355018317</v>
      </c>
      <c r="D20" s="48" t="s">
        <v>24</v>
      </c>
    </row>
    <row r="21" spans="1:16">
      <c r="D21" s="48"/>
    </row>
    <row r="22" spans="1:16">
      <c r="A22" s="33" t="s">
        <v>89</v>
      </c>
      <c r="C22" s="56">
        <f>C20/C19</f>
        <v>0.29044666719537393</v>
      </c>
      <c r="D22" s="48" t="s">
        <v>24</v>
      </c>
    </row>
  </sheetData>
  <pageMargins left="0.75" right="0.75" top="1" bottom="1" header="0.51180555555555496" footer="0.51180555555555496"/>
  <pageSetup paperSize="9" firstPageNumber="0" orientation="portrait" useFirstPageNumber="1"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7"/>
  <sheetViews>
    <sheetView workbookViewId="0">
      <selection activeCell="B3" sqref="B3"/>
    </sheetView>
  </sheetViews>
  <sheetFormatPr defaultColWidth="9.140625" defaultRowHeight="15"/>
  <cols>
    <col min="1" max="1" width="9.140625" style="33"/>
    <col min="2" max="2" width="12.42578125" style="33" customWidth="1"/>
    <col min="3" max="16384" width="9.140625" style="33"/>
  </cols>
  <sheetData>
    <row r="1" spans="1:6">
      <c r="A1" s="57" t="s">
        <v>90</v>
      </c>
      <c r="B1" s="57" t="s">
        <v>91</v>
      </c>
      <c r="F1" s="48" t="s">
        <v>92</v>
      </c>
    </row>
    <row r="2" spans="1:6">
      <c r="A2" s="57">
        <v>0</v>
      </c>
      <c r="B2" s="58">
        <f>MIN(80%*A2,120%*(Question1_Parameters!$B$4-A2))*Question1_Parameters!$B$2</f>
        <v>0</v>
      </c>
    </row>
    <row r="3" spans="1:6">
      <c r="A3" s="57">
        <f t="shared" ref="A3:A17" si="0">+A2+1</f>
        <v>1</v>
      </c>
      <c r="B3" s="58">
        <f>MIN(80%*A3,120%*(Question1_Parameters!$B$4-A3))*Question1_Parameters!$B$2</f>
        <v>41600</v>
      </c>
    </row>
    <row r="4" spans="1:6">
      <c r="A4" s="57">
        <f t="shared" si="0"/>
        <v>2</v>
      </c>
      <c r="B4" s="58">
        <f>MIN(80%*A4,120%*(Question1_Parameters!$B$4-A4))*Question1_Parameters!$B$2</f>
        <v>83200</v>
      </c>
    </row>
    <row r="5" spans="1:6">
      <c r="A5" s="57">
        <f t="shared" si="0"/>
        <v>3</v>
      </c>
      <c r="B5" s="58">
        <f>MIN(80%*A5,120%*(Question1_Parameters!$B$4-A5))*Question1_Parameters!$B$2</f>
        <v>124800.00000000001</v>
      </c>
    </row>
    <row r="6" spans="1:6">
      <c r="A6" s="57">
        <f t="shared" si="0"/>
        <v>4</v>
      </c>
      <c r="B6" s="58">
        <f>MIN(80%*A6,120%*(Question1_Parameters!$B$4-A6))*Question1_Parameters!$B$2</f>
        <v>166400</v>
      </c>
    </row>
    <row r="7" spans="1:6">
      <c r="A7" s="57">
        <f t="shared" si="0"/>
        <v>5</v>
      </c>
      <c r="B7" s="58">
        <f>MIN(80%*A7,120%*(Question1_Parameters!$B$4-A7))*Question1_Parameters!$B$2</f>
        <v>208000</v>
      </c>
    </row>
    <row r="8" spans="1:6">
      <c r="A8" s="57">
        <f t="shared" si="0"/>
        <v>6</v>
      </c>
      <c r="B8" s="58">
        <f>MIN(80%*A8,120%*(Question1_Parameters!$B$4-A8))*Question1_Parameters!$B$2</f>
        <v>249600.00000000003</v>
      </c>
    </row>
    <row r="9" spans="1:6">
      <c r="A9" s="57">
        <f t="shared" si="0"/>
        <v>7</v>
      </c>
      <c r="B9" s="58">
        <f>MIN(80%*A9,120%*(Question1_Parameters!$B$4-A9))*Question1_Parameters!$B$2</f>
        <v>291200</v>
      </c>
    </row>
    <row r="10" spans="1:6">
      <c r="A10" s="57">
        <f t="shared" si="0"/>
        <v>8</v>
      </c>
      <c r="B10" s="58">
        <f>MIN(80%*A10,120%*(Question1_Parameters!$B$4-A10))*Question1_Parameters!$B$2</f>
        <v>332800</v>
      </c>
    </row>
    <row r="11" spans="1:6">
      <c r="A11" s="57">
        <f t="shared" si="0"/>
        <v>9</v>
      </c>
      <c r="B11" s="58">
        <f>MIN(80%*A11,120%*(Question1_Parameters!$B$4-A11))*Question1_Parameters!$B$2</f>
        <v>374399.99999999994</v>
      </c>
    </row>
    <row r="12" spans="1:6">
      <c r="A12" s="57">
        <f t="shared" si="0"/>
        <v>10</v>
      </c>
      <c r="B12" s="58">
        <f>MIN(80%*A12,120%*(Question1_Parameters!$B$4-A12))*Question1_Parameters!$B$2</f>
        <v>312000</v>
      </c>
    </row>
    <row r="13" spans="1:6">
      <c r="A13" s="57">
        <f t="shared" si="0"/>
        <v>11</v>
      </c>
      <c r="B13" s="58">
        <f>MIN(80%*A13,120%*(Question1_Parameters!$B$4-A13))*Question1_Parameters!$B$2</f>
        <v>249600</v>
      </c>
    </row>
    <row r="14" spans="1:6">
      <c r="A14" s="57">
        <f t="shared" si="0"/>
        <v>12</v>
      </c>
      <c r="B14" s="58">
        <f>MIN(80%*A14,120%*(Question1_Parameters!$B$4-A14))*Question1_Parameters!$B$2</f>
        <v>187199.99999999997</v>
      </c>
    </row>
    <row r="15" spans="1:6">
      <c r="A15" s="57">
        <f t="shared" si="0"/>
        <v>13</v>
      </c>
      <c r="B15" s="58">
        <f>MIN(80%*A15,120%*(Question1_Parameters!$B$4-A15))*Question1_Parameters!$B$2</f>
        <v>124800</v>
      </c>
    </row>
    <row r="16" spans="1:6">
      <c r="A16" s="57">
        <f t="shared" si="0"/>
        <v>14</v>
      </c>
      <c r="B16" s="58">
        <f>MIN(80%*A16,120%*(Question1_Parameters!$B$4-A16))*Question1_Parameters!$B$2</f>
        <v>62400</v>
      </c>
    </row>
    <row r="17" spans="1:2">
      <c r="A17" s="57">
        <f t="shared" si="0"/>
        <v>15</v>
      </c>
      <c r="B17" s="58">
        <f>MIN(80%*A17,120%*(Question1_Parameters!$B$4-A17))*Question1_Parameters!$B$2</f>
        <v>0</v>
      </c>
    </row>
  </sheetData>
  <pageMargins left="0.75" right="0.75" top="1" bottom="1" header="0.51180555555555496" footer="0.51180555555555496"/>
  <pageSetup firstPageNumber="0" orientation="portrait" useFirstPageNumber="1"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7"/>
  <sheetViews>
    <sheetView workbookViewId="0">
      <selection activeCell="A2" sqref="A2:J4"/>
    </sheetView>
  </sheetViews>
  <sheetFormatPr defaultColWidth="9.140625" defaultRowHeight="15"/>
  <cols>
    <col min="1" max="1" width="9.140625" style="59"/>
    <col min="2" max="2" width="12.42578125" style="33" customWidth="1"/>
    <col min="3" max="16384" width="9.140625" style="33"/>
  </cols>
  <sheetData>
    <row r="1" spans="1:11">
      <c r="A1" s="59" t="s">
        <v>93</v>
      </c>
      <c r="B1" s="57"/>
    </row>
    <row r="2" spans="1:11" ht="14.45" customHeight="1">
      <c r="A2" s="67" t="s">
        <v>94</v>
      </c>
      <c r="B2" s="67"/>
      <c r="C2" s="67"/>
      <c r="D2" s="67"/>
      <c r="E2" s="67"/>
      <c r="F2" s="67"/>
      <c r="G2" s="67"/>
      <c r="H2" s="67"/>
      <c r="I2" s="67"/>
      <c r="J2" s="67"/>
    </row>
    <row r="3" spans="1:11">
      <c r="A3" s="67"/>
      <c r="B3" s="67"/>
      <c r="C3" s="67"/>
      <c r="D3" s="67"/>
      <c r="E3" s="67"/>
      <c r="F3" s="67"/>
      <c r="G3" s="67"/>
      <c r="H3" s="67"/>
      <c r="I3" s="67"/>
      <c r="J3" s="67"/>
    </row>
    <row r="4" spans="1:11">
      <c r="A4" s="67"/>
      <c r="B4" s="67"/>
      <c r="C4" s="67"/>
      <c r="D4" s="67"/>
      <c r="E4" s="67"/>
      <c r="F4" s="67"/>
      <c r="G4" s="67"/>
      <c r="H4" s="67"/>
      <c r="I4" s="67"/>
      <c r="J4" s="67"/>
      <c r="K4" s="48" t="s">
        <v>95</v>
      </c>
    </row>
    <row r="5" spans="1:11">
      <c r="B5" s="58"/>
    </row>
    <row r="6" spans="1:11" ht="14.45" customHeight="1">
      <c r="A6" s="68" t="s">
        <v>96</v>
      </c>
      <c r="B6" s="68"/>
      <c r="C6" s="68"/>
      <c r="D6" s="68"/>
      <c r="E6" s="68"/>
      <c r="F6" s="68"/>
      <c r="G6" s="68"/>
      <c r="H6" s="68"/>
      <c r="I6" s="68"/>
      <c r="J6" s="68"/>
    </row>
    <row r="7" spans="1:11">
      <c r="A7" s="68"/>
      <c r="B7" s="68"/>
      <c r="C7" s="68"/>
      <c r="D7" s="68"/>
      <c r="E7" s="68"/>
      <c r="F7" s="68"/>
      <c r="G7" s="68"/>
      <c r="H7" s="68"/>
      <c r="I7" s="68"/>
      <c r="J7" s="68"/>
      <c r="K7" s="48"/>
    </row>
    <row r="8" spans="1:11">
      <c r="A8" s="68"/>
      <c r="B8" s="68"/>
      <c r="C8" s="68"/>
      <c r="D8" s="68"/>
      <c r="E8" s="68"/>
      <c r="F8" s="68"/>
      <c r="G8" s="68"/>
      <c r="H8" s="68"/>
      <c r="I8" s="68"/>
      <c r="J8" s="68"/>
    </row>
    <row r="9" spans="1:11">
      <c r="A9" s="68"/>
      <c r="B9" s="68"/>
      <c r="C9" s="68"/>
      <c r="D9" s="68"/>
      <c r="E9" s="68"/>
      <c r="F9" s="68"/>
      <c r="G9" s="68"/>
      <c r="H9" s="68"/>
      <c r="I9" s="68"/>
      <c r="J9" s="68"/>
      <c r="K9" s="48" t="s">
        <v>97</v>
      </c>
    </row>
    <row r="10" spans="1:11">
      <c r="A10" s="68"/>
      <c r="B10" s="68"/>
      <c r="C10" s="68"/>
      <c r="D10" s="68"/>
      <c r="E10" s="68"/>
      <c r="F10" s="68"/>
      <c r="G10" s="68"/>
      <c r="H10" s="68"/>
      <c r="I10" s="68"/>
      <c r="J10" s="68"/>
    </row>
    <row r="11" spans="1:11">
      <c r="A11" s="60"/>
      <c r="B11" s="58"/>
    </row>
    <row r="12" spans="1:11">
      <c r="B12" s="58"/>
    </row>
    <row r="13" spans="1:11">
      <c r="B13" s="58"/>
    </row>
    <row r="14" spans="1:11">
      <c r="B14" s="58"/>
    </row>
    <row r="15" spans="1:11">
      <c r="B15" s="58"/>
    </row>
    <row r="16" spans="1:11">
      <c r="B16" s="58"/>
    </row>
    <row r="17" spans="2:2">
      <c r="B17" s="58"/>
    </row>
  </sheetData>
  <mergeCells count="2">
    <mergeCell ref="A2:J4"/>
    <mergeCell ref="A6:J10"/>
  </mergeCells>
  <pageMargins left="0.75" right="0.75" top="1" bottom="1" header="0.51180555555555496" footer="0.51180555555555496"/>
  <pageSetup paperSize="9" firstPageNumber="0" orientation="portrait" useFirstPageNumber="1"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2"/>
  <sheetViews>
    <sheetView topLeftCell="A3" workbookViewId="0">
      <selection activeCell="C22" sqref="C22"/>
    </sheetView>
  </sheetViews>
  <sheetFormatPr defaultColWidth="9.140625" defaultRowHeight="15"/>
  <cols>
    <col min="1" max="1" width="18.7109375" style="33" customWidth="1"/>
    <col min="2" max="2" width="5" style="33" customWidth="1"/>
    <col min="3" max="3" width="9.7109375" style="33" customWidth="1"/>
    <col min="4" max="4" width="9" style="33" customWidth="1"/>
    <col min="5" max="5" width="12.140625" style="33" customWidth="1"/>
    <col min="6" max="6" width="10.42578125" style="33" customWidth="1"/>
    <col min="7" max="8" width="9.5703125" style="33" customWidth="1"/>
    <col min="9" max="9" width="11" style="33" customWidth="1"/>
    <col min="10" max="10" width="10.85546875" style="33" customWidth="1"/>
    <col min="11" max="11" width="7" style="33" customWidth="1"/>
    <col min="12" max="12" width="8" style="33" customWidth="1"/>
    <col min="13" max="13" width="16.5703125" style="33" customWidth="1"/>
    <col min="14" max="14" width="9.28515625" style="33" customWidth="1"/>
    <col min="15" max="15" width="12.5703125" style="33" customWidth="1"/>
    <col min="16" max="16" width="14.140625" style="33" customWidth="1"/>
    <col min="17" max="17" width="9.5703125" style="33" customWidth="1"/>
    <col min="18" max="16384" width="9.140625" style="33"/>
  </cols>
  <sheetData>
    <row r="1" spans="1:18">
      <c r="A1" s="47" t="s">
        <v>74</v>
      </c>
      <c r="B1" s="35">
        <f>Question1_Parameters!B8+5%</f>
        <v>0.12000000000000001</v>
      </c>
      <c r="H1" s="48" t="s">
        <v>24</v>
      </c>
      <c r="J1" s="48" t="s">
        <v>24</v>
      </c>
      <c r="R1" s="48" t="s">
        <v>98</v>
      </c>
    </row>
    <row r="2" spans="1:18" ht="90">
      <c r="A2" s="47" t="s">
        <v>75</v>
      </c>
      <c r="B2" s="47" t="s">
        <v>0</v>
      </c>
      <c r="C2" s="47" t="s">
        <v>63</v>
      </c>
      <c r="D2" s="47" t="s">
        <v>9</v>
      </c>
      <c r="E2" s="47" t="s">
        <v>76</v>
      </c>
      <c r="F2" s="49" t="s">
        <v>77</v>
      </c>
      <c r="G2" s="49" t="s">
        <v>1</v>
      </c>
      <c r="H2" s="49" t="s">
        <v>99</v>
      </c>
      <c r="I2" s="49" t="s">
        <v>78</v>
      </c>
      <c r="J2" s="49" t="s">
        <v>79</v>
      </c>
      <c r="K2" s="49" t="s">
        <v>80</v>
      </c>
      <c r="L2" s="49" t="s">
        <v>81</v>
      </c>
      <c r="M2" s="49" t="s">
        <v>82</v>
      </c>
      <c r="N2" s="49" t="s">
        <v>83</v>
      </c>
      <c r="O2" s="51" t="s">
        <v>84</v>
      </c>
      <c r="P2" s="49" t="s">
        <v>85</v>
      </c>
      <c r="Q2" s="49" t="s">
        <v>100</v>
      </c>
    </row>
    <row r="3" spans="1:18">
      <c r="A3" s="33">
        <v>1</v>
      </c>
      <c r="B3" s="33">
        <f>Question1_Parameters!B3</f>
        <v>50</v>
      </c>
      <c r="C3" s="33">
        <f>Question1_Parameters!$B$2</f>
        <v>52000</v>
      </c>
      <c r="D3" s="33">
        <f>Question1_Parameters!B6</f>
        <v>3000</v>
      </c>
      <c r="E3" s="33">
        <f>VLOOKUP(A3,Question1_Parameters!$A$18:$B$21,2,1)*C3</f>
        <v>18200</v>
      </c>
      <c r="F3" s="61">
        <f>(C3-D3-E3)*Question1_Parameters!$B$8</f>
        <v>2156</v>
      </c>
      <c r="G3" s="52">
        <f>VLOOKUP(B3,Question1_Parameters!$A$25:$B$55,2,0)</f>
        <v>2.5079999999999998E-3</v>
      </c>
      <c r="H3" s="52">
        <f>1-VLOOKUP(B3,Question1_Parameters!$A$14:$B$15,2,1)</f>
        <v>0.98</v>
      </c>
      <c r="I3" s="52">
        <v>1</v>
      </c>
      <c r="J3" s="52">
        <f>I3*(1-G3*H3)</f>
        <v>0.99754215999999996</v>
      </c>
      <c r="K3" s="61">
        <f>G3*H3*Question1_Parameters!$B$1</f>
        <v>12289.199999999999</v>
      </c>
      <c r="L3" s="34">
        <f>K3*(1+Question1_Parameters!$B$8)^0.5</f>
        <v>12712.047325462565</v>
      </c>
      <c r="M3" s="61">
        <f>+C3-D3-E3+F3-L3</f>
        <v>20243.952674537435</v>
      </c>
      <c r="N3" s="61">
        <f>MIN(80%*(A3),120%*(Question1_Parameters!$B$4-A3))*C3*J3</f>
        <v>41497.753855999996</v>
      </c>
      <c r="O3" s="34">
        <f>N3</f>
        <v>41497.753855999996</v>
      </c>
      <c r="P3" s="61">
        <f>M3*I3-(O3)</f>
        <v>-21253.801181462561</v>
      </c>
      <c r="Q3" s="52">
        <f t="shared" ref="Q3:Q17" si="0">(1+$B$1)^(-A3)</f>
        <v>0.89285714285714279</v>
      </c>
    </row>
    <row r="4" spans="1:18">
      <c r="A4" s="33">
        <f t="shared" ref="A4:A17" si="1">+A3+1</f>
        <v>2</v>
      </c>
      <c r="B4" s="33">
        <f t="shared" ref="B4:B17" si="2">+B3+A4-A3</f>
        <v>51</v>
      </c>
      <c r="C4" s="33">
        <f>Question1_Parameters!$B$2</f>
        <v>52000</v>
      </c>
      <c r="D4" s="33">
        <f>Question1_Parameters!B7</f>
        <v>500</v>
      </c>
      <c r="E4" s="33">
        <f>VLOOKUP(A4,Question1_Parameters!$A$18:$B$21,2,1)*C4</f>
        <v>2600</v>
      </c>
      <c r="F4" s="61">
        <f>(C4-D4-E4)*Question1_Parameters!$B$8</f>
        <v>3423.0000000000005</v>
      </c>
      <c r="G4" s="52">
        <f>VLOOKUP(B4,Question1_Parameters!$A$25:$B$55,2,0)</f>
        <v>2.8089999999999999E-3</v>
      </c>
      <c r="H4" s="52">
        <f>1-VLOOKUP(B4,Question1_Parameters!$A$14:$B$15,2,1)</f>
        <v>0.98</v>
      </c>
      <c r="I4" s="52">
        <f t="shared" ref="I4:I17" si="3">J3</f>
        <v>0.99754215999999996</v>
      </c>
      <c r="J4" s="52">
        <f t="shared" ref="J4:J17" si="4">I4*(1-G4*H4)</f>
        <v>0.99479610599110879</v>
      </c>
      <c r="K4" s="61">
        <f>G4*H4*Question1_Parameters!$B$1</f>
        <v>13764.1</v>
      </c>
      <c r="L4" s="34">
        <f>K4*(1+Question1_Parameters!$B$8)^0.5</f>
        <v>14237.695748494558</v>
      </c>
      <c r="M4" s="61">
        <f t="shared" ref="M4:M17" si="5">+C4-D4-E4+F4-K4</f>
        <v>38558.9</v>
      </c>
      <c r="N4" s="61">
        <f>MIN(80%*(A4),120%*(Question1_Parameters!$B$4-A4))*C4*J4</f>
        <v>82767.036018460247</v>
      </c>
      <c r="O4" s="34">
        <f>N4-N3*(1+Question1_Parameters!$B$8)</f>
        <v>38364.439392540247</v>
      </c>
      <c r="P4" s="61">
        <f t="shared" ref="P4:P17" si="6">M4*I4-(O4)</f>
        <v>99.689000683749327</v>
      </c>
      <c r="Q4" s="52">
        <f t="shared" si="0"/>
        <v>0.79719387755102034</v>
      </c>
    </row>
    <row r="5" spans="1:18">
      <c r="A5" s="33">
        <f t="shared" si="1"/>
        <v>3</v>
      </c>
      <c r="B5" s="33">
        <f t="shared" si="2"/>
        <v>52</v>
      </c>
      <c r="C5" s="33">
        <f>Question1_Parameters!$B$2</f>
        <v>52000</v>
      </c>
      <c r="D5" s="33">
        <f t="shared" ref="D5:D17" si="7">D4</f>
        <v>500</v>
      </c>
      <c r="E5" s="33">
        <f>VLOOKUP(A5,Question1_Parameters!$A$18:$B$21,2,1)*C5</f>
        <v>2600</v>
      </c>
      <c r="F5" s="61">
        <f>(C5-D5-E5)*Question1_Parameters!$B$8</f>
        <v>3423.0000000000005</v>
      </c>
      <c r="G5" s="52">
        <f>VLOOKUP(B5,Question1_Parameters!$A$25:$B$55,2,0)</f>
        <v>3.1519999999999999E-3</v>
      </c>
      <c r="H5" s="52">
        <f>1-VLOOKUP(B5,Question1_Parameters!$A$14:$B$15,2,1)</f>
        <v>0.98</v>
      </c>
      <c r="I5" s="52">
        <f t="shared" si="3"/>
        <v>0.99479610599110879</v>
      </c>
      <c r="J5" s="52">
        <f t="shared" si="4"/>
        <v>0.9917232206115465</v>
      </c>
      <c r="K5" s="61">
        <f>G5*H5*Question1_Parameters!$B$1</f>
        <v>15444.8</v>
      </c>
      <c r="L5" s="34">
        <f>K5*(1+Question1_Parameters!$B$8)^0.5</f>
        <v>15976.225346833337</v>
      </c>
      <c r="M5" s="61">
        <f t="shared" si="5"/>
        <v>36878.199999999997</v>
      </c>
      <c r="N5" s="61">
        <f>MIN(80%*(A5),120%*(Question1_Parameters!$B$4-A5))*C5*J5</f>
        <v>123767.05793232101</v>
      </c>
      <c r="O5" s="34">
        <f>N5-N4*(1+Question1_Parameters!$B$8)</f>
        <v>35206.329392568543</v>
      </c>
      <c r="P5" s="61">
        <f t="shared" si="6"/>
        <v>1479.9603633927618</v>
      </c>
      <c r="Q5" s="52">
        <f t="shared" si="0"/>
        <v>0.71178024781341087</v>
      </c>
    </row>
    <row r="6" spans="1:18">
      <c r="A6" s="33">
        <f t="shared" si="1"/>
        <v>4</v>
      </c>
      <c r="B6" s="33">
        <f t="shared" si="2"/>
        <v>53</v>
      </c>
      <c r="C6" s="33">
        <f>Question1_Parameters!$B$2</f>
        <v>52000</v>
      </c>
      <c r="D6" s="33">
        <f t="shared" si="7"/>
        <v>500</v>
      </c>
      <c r="E6" s="33">
        <f>VLOOKUP(A6,Question1_Parameters!$A$18:$B$21,2,1)*C6</f>
        <v>1560</v>
      </c>
      <c r="F6" s="61">
        <f>(C6-D6-E6)*Question1_Parameters!$B$8</f>
        <v>3495.8</v>
      </c>
      <c r="G6" s="52">
        <f>VLOOKUP(B6,Question1_Parameters!$A$25:$B$55,2,0)</f>
        <v>3.539E-3</v>
      </c>
      <c r="H6" s="52">
        <f>1-VLOOKUP(B6,Question1_Parameters!$A$14:$B$15,2,1)</f>
        <v>0.98</v>
      </c>
      <c r="I6" s="52">
        <f t="shared" si="3"/>
        <v>0.9917232206115465</v>
      </c>
      <c r="J6" s="52">
        <f t="shared" si="4"/>
        <v>0.98828370630335705</v>
      </c>
      <c r="K6" s="61">
        <f>G6*H6*Question1_Parameters!$B$1</f>
        <v>17341.100000000002</v>
      </c>
      <c r="L6" s="34">
        <f>K6*(1+Question1_Parameters!$B$8)^0.5</f>
        <v>17937.773319303044</v>
      </c>
      <c r="M6" s="61">
        <f t="shared" si="5"/>
        <v>36094.699999999997</v>
      </c>
      <c r="N6" s="61">
        <f>MIN(80%*(A6),120%*(Question1_Parameters!$B$4-A6))*C6*J6</f>
        <v>164450.40872887862</v>
      </c>
      <c r="O6" s="34">
        <f>N6-N5*(1+Question1_Parameters!$B$8)</f>
        <v>32019.656741295126</v>
      </c>
      <c r="P6" s="61">
        <f t="shared" si="6"/>
        <v>3776.2953897124607</v>
      </c>
      <c r="Q6" s="52">
        <f t="shared" si="0"/>
        <v>0.63551807840483121</v>
      </c>
    </row>
    <row r="7" spans="1:18">
      <c r="A7" s="33">
        <f t="shared" si="1"/>
        <v>5</v>
      </c>
      <c r="B7" s="33">
        <f t="shared" si="2"/>
        <v>54</v>
      </c>
      <c r="C7" s="33">
        <f>Question1_Parameters!$B$2</f>
        <v>52000</v>
      </c>
      <c r="D7" s="33">
        <f t="shared" si="7"/>
        <v>500</v>
      </c>
      <c r="E7" s="33">
        <f>VLOOKUP(A7,Question1_Parameters!$A$18:$B$21,2,1)*C7</f>
        <v>1560</v>
      </c>
      <c r="F7" s="61">
        <f>(C7-D7-E7)*Question1_Parameters!$B$8</f>
        <v>3495.8</v>
      </c>
      <c r="G7" s="52">
        <f>VLOOKUP(B7,Question1_Parameters!$A$25:$B$55,2,0)</f>
        <v>3.9760000000000004E-3</v>
      </c>
      <c r="H7" s="52">
        <f>1-VLOOKUP(B7,Question1_Parameters!$A$14:$B$15,2,1)</f>
        <v>0.98</v>
      </c>
      <c r="I7" s="52">
        <f t="shared" si="3"/>
        <v>0.98828370630335705</v>
      </c>
      <c r="J7" s="52">
        <f t="shared" si="4"/>
        <v>0.98443287860742013</v>
      </c>
      <c r="K7" s="61">
        <f>G7*H7*Question1_Parameters!$B$1</f>
        <v>19482.400000000001</v>
      </c>
      <c r="L7" s="34">
        <f>K7*(1+Question1_Parameters!$B$8)^0.5</f>
        <v>20152.751262376063</v>
      </c>
      <c r="M7" s="61">
        <f t="shared" si="5"/>
        <v>33953.4</v>
      </c>
      <c r="N7" s="61">
        <f>MIN(80%*(A7),120%*(Question1_Parameters!$B$4-A7))*C7*J7</f>
        <v>204762.03875034337</v>
      </c>
      <c r="O7" s="34">
        <f>N7-N6*(1+Question1_Parameters!$B$8)</f>
        <v>28800.101410443225</v>
      </c>
      <c r="P7" s="61">
        <f t="shared" si="6"/>
        <v>4755.4905831571814</v>
      </c>
      <c r="Q7" s="52">
        <f t="shared" si="0"/>
        <v>0.56742685571859919</v>
      </c>
    </row>
    <row r="8" spans="1:18">
      <c r="A8" s="33">
        <f t="shared" si="1"/>
        <v>6</v>
      </c>
      <c r="B8" s="33">
        <f t="shared" si="2"/>
        <v>55</v>
      </c>
      <c r="C8" s="33">
        <f>Question1_Parameters!$B$2</f>
        <v>52000</v>
      </c>
      <c r="D8" s="33">
        <f t="shared" si="7"/>
        <v>500</v>
      </c>
      <c r="E8" s="33">
        <f>VLOOKUP(A8,Question1_Parameters!$A$18:$B$21,2,1)*C8</f>
        <v>1560</v>
      </c>
      <c r="F8" s="61">
        <f>(C8-D8-E8)*Question1_Parameters!$B$8</f>
        <v>3495.8</v>
      </c>
      <c r="G8" s="52">
        <f>VLOOKUP(B8,Question1_Parameters!$A$25:$B$55,2,0)</f>
        <v>4.4689999999999999E-3</v>
      </c>
      <c r="H8" s="52">
        <f>1-VLOOKUP(B8,Question1_Parameters!$A$14:$B$15,2,1)</f>
        <v>0.98</v>
      </c>
      <c r="I8" s="52">
        <f t="shared" si="3"/>
        <v>0.98443287860742013</v>
      </c>
      <c r="J8" s="52">
        <f t="shared" si="4"/>
        <v>0.98012143668361351</v>
      </c>
      <c r="K8" s="61">
        <f>G8*H8*Question1_Parameters!$B$1</f>
        <v>21898.1</v>
      </c>
      <c r="L8" s="34">
        <f>K8*(1+Question1_Parameters!$B$8)^0.5</f>
        <v>22651.570772524803</v>
      </c>
      <c r="M8" s="61">
        <f t="shared" si="5"/>
        <v>31537.700000000004</v>
      </c>
      <c r="N8" s="61">
        <f>MIN(80%*(A8),120%*(Question1_Parameters!$B$4-A8))*C8*J8</f>
        <v>244638.31059622997</v>
      </c>
      <c r="O8" s="34">
        <f>N8-N7*(1+Question1_Parameters!$B$8)</f>
        <v>25542.929133362544</v>
      </c>
      <c r="P8" s="61">
        <f t="shared" si="6"/>
        <v>5503.8196622946925</v>
      </c>
      <c r="Q8" s="52">
        <f t="shared" si="0"/>
        <v>0.50663112117732068</v>
      </c>
    </row>
    <row r="9" spans="1:18">
      <c r="A9" s="33">
        <f t="shared" si="1"/>
        <v>7</v>
      </c>
      <c r="B9" s="33">
        <f t="shared" si="2"/>
        <v>56</v>
      </c>
      <c r="C9" s="33">
        <f>Question1_Parameters!$B$2</f>
        <v>52000</v>
      </c>
      <c r="D9" s="33">
        <f t="shared" si="7"/>
        <v>500</v>
      </c>
      <c r="E9" s="33">
        <f>VLOOKUP(A9,Question1_Parameters!$A$18:$B$21,2,1)*C9</f>
        <v>1560</v>
      </c>
      <c r="F9" s="61">
        <f>(C9-D9-E9)*Question1_Parameters!$B$8</f>
        <v>3495.8</v>
      </c>
      <c r="G9" s="52">
        <f>VLOOKUP(B9,Question1_Parameters!$A$25:$B$55,2,0)</f>
        <v>5.025E-3</v>
      </c>
      <c r="H9" s="52">
        <f>1-VLOOKUP(B9,Question1_Parameters!$A$14:$B$15,2,1)</f>
        <v>0.98</v>
      </c>
      <c r="I9" s="52">
        <f t="shared" si="3"/>
        <v>0.98012143668361351</v>
      </c>
      <c r="J9" s="52">
        <f t="shared" si="4"/>
        <v>0.97529482866866501</v>
      </c>
      <c r="K9" s="61">
        <f>G9*H9*Question1_Parameters!$B$1</f>
        <v>24622.5</v>
      </c>
      <c r="L9" s="34">
        <f>K9*(1+Question1_Parameters!$B$8)^0.5</f>
        <v>25469.712045633732</v>
      </c>
      <c r="M9" s="61">
        <f t="shared" si="5"/>
        <v>28813.300000000003</v>
      </c>
      <c r="N9" s="61">
        <f>MIN(80%*(A9),120%*(Question1_Parameters!$B$4-A9))*C9*J9</f>
        <v>284005.85410831525</v>
      </c>
      <c r="O9" s="34">
        <f>N9-N8*(1+Question1_Parameters!$B$8)</f>
        <v>22242.861770349176</v>
      </c>
      <c r="P9" s="61">
        <f t="shared" si="6"/>
        <v>5997.6712212467864</v>
      </c>
      <c r="Q9" s="52">
        <f t="shared" si="0"/>
        <v>0.45234921533689343</v>
      </c>
    </row>
    <row r="10" spans="1:18">
      <c r="A10" s="33">
        <f t="shared" si="1"/>
        <v>8</v>
      </c>
      <c r="B10" s="33">
        <f t="shared" si="2"/>
        <v>57</v>
      </c>
      <c r="C10" s="33">
        <f>Question1_Parameters!$B$2</f>
        <v>52000</v>
      </c>
      <c r="D10" s="33">
        <f t="shared" si="7"/>
        <v>500</v>
      </c>
      <c r="E10" s="33">
        <f>VLOOKUP(A10,Question1_Parameters!$A$18:$B$21,2,1)*C10</f>
        <v>1560</v>
      </c>
      <c r="F10" s="61">
        <f>(C10-D10-E10)*Question1_Parameters!$B$8</f>
        <v>3495.8</v>
      </c>
      <c r="G10" s="52">
        <f>VLOOKUP(B10,Question1_Parameters!$A$25:$B$55,2,0)</f>
        <v>5.6499999999999996E-3</v>
      </c>
      <c r="H10" s="52">
        <f>1-VLOOKUP(B10,Question1_Parameters!$A$14:$B$15,2,1)</f>
        <v>0.98</v>
      </c>
      <c r="I10" s="52">
        <f t="shared" si="3"/>
        <v>0.97529482866866501</v>
      </c>
      <c r="J10" s="52">
        <f t="shared" si="4"/>
        <v>0.96989462120232661</v>
      </c>
      <c r="K10" s="61">
        <f>G10*H10*Question1_Parameters!$B$1</f>
        <v>27684.999999999996</v>
      </c>
      <c r="L10" s="34">
        <f>K10*(1+Question1_Parameters!$B$8)^0.5</f>
        <v>28637.586678175237</v>
      </c>
      <c r="M10" s="61">
        <f t="shared" si="5"/>
        <v>25750.800000000007</v>
      </c>
      <c r="N10" s="61">
        <f>MIN(80%*(A10),120%*(Question1_Parameters!$B$4-A10))*C10*J10</f>
        <v>322780.92993613431</v>
      </c>
      <c r="O10" s="34">
        <f>N10-N9*(1+Question1_Parameters!$B$8)</f>
        <v>18894.666040237003</v>
      </c>
      <c r="P10" s="61">
        <f t="shared" si="6"/>
        <v>6219.9560338440606</v>
      </c>
      <c r="Q10" s="52">
        <f t="shared" si="0"/>
        <v>0.4038832279793691</v>
      </c>
    </row>
    <row r="11" spans="1:18">
      <c r="A11" s="33">
        <f t="shared" si="1"/>
        <v>9</v>
      </c>
      <c r="B11" s="33">
        <f t="shared" si="2"/>
        <v>58</v>
      </c>
      <c r="C11" s="33">
        <f>Question1_Parameters!$B$2</f>
        <v>52000</v>
      </c>
      <c r="D11" s="33">
        <f t="shared" si="7"/>
        <v>500</v>
      </c>
      <c r="E11" s="33">
        <f>VLOOKUP(A11,Question1_Parameters!$A$18:$B$21,2,1)*C11</f>
        <v>1560</v>
      </c>
      <c r="F11" s="61">
        <f>(C11-D11-E11)*Question1_Parameters!$B$8</f>
        <v>3495.8</v>
      </c>
      <c r="G11" s="52">
        <f>VLOOKUP(B11,Question1_Parameters!$A$25:$B$55,2,0)</f>
        <v>6.352E-3</v>
      </c>
      <c r="H11" s="52">
        <f>1-VLOOKUP(B11,Question1_Parameters!$A$14:$B$15,2,1)</f>
        <v>0.98</v>
      </c>
      <c r="I11" s="52">
        <f t="shared" si="3"/>
        <v>0.96989462120232661</v>
      </c>
      <c r="J11" s="52">
        <f t="shared" si="4"/>
        <v>0.96385706598112708</v>
      </c>
      <c r="K11" s="61">
        <f>G11*H11*Question1_Parameters!$B$1</f>
        <v>31124.799999999999</v>
      </c>
      <c r="L11" s="34">
        <f>K11*(1+Question1_Parameters!$B$8)^0.5</f>
        <v>32195.743465445863</v>
      </c>
      <c r="M11" s="61">
        <f t="shared" si="5"/>
        <v>22311.000000000004</v>
      </c>
      <c r="N11" s="61">
        <f>MIN(80%*(A11),120%*(Question1_Parameters!$B$4-A11))*C11*J11</f>
        <v>360868.08550333395</v>
      </c>
      <c r="O11" s="34">
        <f>N11-N10*(1+Question1_Parameters!$B$8)</f>
        <v>15492.490471670229</v>
      </c>
      <c r="P11" s="61">
        <f t="shared" si="6"/>
        <v>6146.8284219748821</v>
      </c>
      <c r="Q11" s="52">
        <f t="shared" si="0"/>
        <v>0.36061002498157957</v>
      </c>
    </row>
    <row r="12" spans="1:18">
      <c r="A12" s="33">
        <f t="shared" si="1"/>
        <v>10</v>
      </c>
      <c r="B12" s="33">
        <f t="shared" si="2"/>
        <v>59</v>
      </c>
      <c r="C12" s="33">
        <f>Question1_Parameters!$B$2</f>
        <v>52000</v>
      </c>
      <c r="D12" s="33">
        <f t="shared" si="7"/>
        <v>500</v>
      </c>
      <c r="E12" s="33">
        <f>VLOOKUP(A12,Question1_Parameters!$A$18:$B$21,2,1)*C12</f>
        <v>1560</v>
      </c>
      <c r="F12" s="61">
        <f>(C12-D12-E12)*Question1_Parameters!$B$8</f>
        <v>3495.8</v>
      </c>
      <c r="G12" s="52">
        <f>VLOOKUP(B12,Question1_Parameters!$A$25:$B$55,2,0)</f>
        <v>7.1399999999999996E-3</v>
      </c>
      <c r="H12" s="52">
        <f>1-VLOOKUP(B12,Question1_Parameters!$A$14:$B$15,2,1)</f>
        <v>0.98</v>
      </c>
      <c r="I12" s="52">
        <f t="shared" si="3"/>
        <v>0.96385706598112708</v>
      </c>
      <c r="J12" s="52">
        <f t="shared" si="4"/>
        <v>0.95711276531904388</v>
      </c>
      <c r="K12" s="61">
        <f>G12*H12*Question1_Parameters!$B$1</f>
        <v>34986</v>
      </c>
      <c r="L12" s="34">
        <f>K12*(1+Question1_Parameters!$B$8)^0.5</f>
        <v>36189.799802154201</v>
      </c>
      <c r="M12" s="61">
        <f t="shared" si="5"/>
        <v>18449.800000000003</v>
      </c>
      <c r="N12" s="61">
        <f>MIN(80%*(A12),120%*(Question1_Parameters!$B$4-A12))*C12*J12</f>
        <v>298619.1827795417</v>
      </c>
      <c r="O12" s="34">
        <f>N12-N11*(1+Question1_Parameters!$B$8)</f>
        <v>-87509.66870902566</v>
      </c>
      <c r="P12" s="61">
        <f t="shared" si="6"/>
        <v>105292.63880496426</v>
      </c>
      <c r="Q12" s="52">
        <f t="shared" si="0"/>
        <v>0.32197323659069599</v>
      </c>
    </row>
    <row r="13" spans="1:18">
      <c r="A13" s="33">
        <f t="shared" si="1"/>
        <v>11</v>
      </c>
      <c r="B13" s="33">
        <f t="shared" si="2"/>
        <v>60</v>
      </c>
      <c r="C13" s="33">
        <f>Question1_Parameters!$B$2</f>
        <v>52000</v>
      </c>
      <c r="D13" s="33">
        <f t="shared" si="7"/>
        <v>500</v>
      </c>
      <c r="E13" s="33">
        <f>VLOOKUP(A13,Question1_Parameters!$A$18:$B$21,2,1)*C13</f>
        <v>1560</v>
      </c>
      <c r="F13" s="61">
        <f>(C13-D13-E13)*Question1_Parameters!$B$8</f>
        <v>3495.8</v>
      </c>
      <c r="G13" s="52">
        <f>VLOOKUP(B13,Question1_Parameters!$A$25:$B$55,2,0)</f>
        <v>8.0219999999999996E-3</v>
      </c>
      <c r="H13" s="52">
        <f>1-VLOOKUP(B13,Question1_Parameters!$A$14:$B$15,2,1)</f>
        <v>1.01</v>
      </c>
      <c r="I13" s="52">
        <f t="shared" si="3"/>
        <v>0.95711276531904388</v>
      </c>
      <c r="J13" s="52">
        <f t="shared" si="4"/>
        <v>0.94935802712962059</v>
      </c>
      <c r="K13" s="61">
        <f>G13*H13*Question1_Parameters!$B$1</f>
        <v>40511.1</v>
      </c>
      <c r="L13" s="34">
        <f>K13*(1+Question1_Parameters!$B$8)^0.5</f>
        <v>41905.007682074225</v>
      </c>
      <c r="M13" s="61">
        <f t="shared" si="5"/>
        <v>12924.700000000004</v>
      </c>
      <c r="N13" s="61">
        <f>MIN(80%*(A13),120%*(Question1_Parameters!$B$4-A13))*C13*J13</f>
        <v>236959.76357155331</v>
      </c>
      <c r="O13" s="34">
        <f>N13-N12*(1+Question1_Parameters!$B$8)</f>
        <v>-82562.762002556323</v>
      </c>
      <c r="P13" s="61">
        <f t="shared" si="6"/>
        <v>94933.157360475379</v>
      </c>
      <c r="Q13" s="52">
        <f t="shared" si="0"/>
        <v>0.28747610409883567</v>
      </c>
    </row>
    <row r="14" spans="1:18">
      <c r="A14" s="33">
        <f t="shared" si="1"/>
        <v>12</v>
      </c>
      <c r="B14" s="33">
        <f t="shared" si="2"/>
        <v>61</v>
      </c>
      <c r="C14" s="33">
        <f>Question1_Parameters!$B$2</f>
        <v>52000</v>
      </c>
      <c r="D14" s="33">
        <f t="shared" si="7"/>
        <v>500</v>
      </c>
      <c r="E14" s="33">
        <f>VLOOKUP(A14,Question1_Parameters!$A$18:$B$21,2,1)*C14</f>
        <v>1560</v>
      </c>
      <c r="F14" s="61">
        <f>(C14-D14-E14)*Question1_Parameters!$B$8</f>
        <v>3495.8</v>
      </c>
      <c r="G14" s="52">
        <f>VLOOKUP(B14,Question1_Parameters!$A$25:$B$55,2,0)</f>
        <v>9.0089999999999996E-3</v>
      </c>
      <c r="H14" s="52">
        <f>1-VLOOKUP(B14,Question1_Parameters!$A$14:$B$15,2,1)</f>
        <v>1.01</v>
      </c>
      <c r="I14" s="52">
        <f t="shared" si="3"/>
        <v>0.94935802712962059</v>
      </c>
      <c r="J14" s="52">
        <f t="shared" si="4"/>
        <v>0.94071973299854572</v>
      </c>
      <c r="K14" s="61">
        <f>G14*H14*Question1_Parameters!$B$1</f>
        <v>45495.45</v>
      </c>
      <c r="L14" s="34">
        <f>K14*(1+Question1_Parameters!$B$8)^0.5</f>
        <v>47060.859412591213</v>
      </c>
      <c r="M14" s="61">
        <f t="shared" si="5"/>
        <v>7940.3500000000058</v>
      </c>
      <c r="N14" s="61">
        <f>MIN(80%*(A14),120%*(Question1_Parameters!$B$4-A14))*C14*J14</f>
        <v>176102.73401732772</v>
      </c>
      <c r="O14" s="34">
        <f>N14-N13*(1+Question1_Parameters!$B$8)</f>
        <v>-77444.213004234334</v>
      </c>
      <c r="P14" s="61">
        <f t="shared" si="6"/>
        <v>84982.448014953028</v>
      </c>
      <c r="Q14" s="52">
        <f t="shared" si="0"/>
        <v>0.25667509294538904</v>
      </c>
    </row>
    <row r="15" spans="1:18">
      <c r="A15" s="33">
        <f t="shared" si="1"/>
        <v>13</v>
      </c>
      <c r="B15" s="33">
        <f t="shared" si="2"/>
        <v>62</v>
      </c>
      <c r="C15" s="33">
        <f>Question1_Parameters!$B$2</f>
        <v>52000</v>
      </c>
      <c r="D15" s="33">
        <f t="shared" si="7"/>
        <v>500</v>
      </c>
      <c r="E15" s="33">
        <f>VLOOKUP(A15,Question1_Parameters!$A$18:$B$21,2,1)*C15</f>
        <v>1560</v>
      </c>
      <c r="F15" s="61">
        <f>(C15-D15-E15)*Question1_Parameters!$B$8</f>
        <v>3495.8</v>
      </c>
      <c r="G15" s="52">
        <f>VLOOKUP(B15,Question1_Parameters!$A$25:$B$55,2,0)</f>
        <v>1.0111999999999999E-2</v>
      </c>
      <c r="H15" s="52">
        <f>1-VLOOKUP(B15,Question1_Parameters!$A$14:$B$15,2,1)</f>
        <v>1.01</v>
      </c>
      <c r="I15" s="52">
        <f t="shared" si="3"/>
        <v>0.94071973299854572</v>
      </c>
      <c r="J15" s="52">
        <f t="shared" si="4"/>
        <v>0.93111204947906367</v>
      </c>
      <c r="K15" s="61">
        <f>G15*H15*Question1_Parameters!$B$1</f>
        <v>51065.599999999999</v>
      </c>
      <c r="L15" s="34">
        <f>K15*(1+Question1_Parameters!$B$8)^0.5</f>
        <v>52822.667374860954</v>
      </c>
      <c r="M15" s="61">
        <f t="shared" si="5"/>
        <v>2370.2000000000044</v>
      </c>
      <c r="N15" s="61">
        <f>MIN(80%*(A15),120%*(Question1_Parameters!$B$4-A15))*C15*J15</f>
        <v>116202.78377498714</v>
      </c>
      <c r="O15" s="34">
        <f>N15-N14*(1+Question1_Parameters!$B$8)</f>
        <v>-72227.141623553543</v>
      </c>
      <c r="P15" s="61">
        <f t="shared" si="6"/>
        <v>74456.835534706697</v>
      </c>
      <c r="Q15" s="52">
        <f t="shared" si="0"/>
        <v>0.22917419012981158</v>
      </c>
    </row>
    <row r="16" spans="1:18">
      <c r="A16" s="33">
        <f t="shared" si="1"/>
        <v>14</v>
      </c>
      <c r="B16" s="33">
        <f t="shared" si="2"/>
        <v>63</v>
      </c>
      <c r="C16" s="33">
        <f>Question1_Parameters!$B$2</f>
        <v>52000</v>
      </c>
      <c r="D16" s="33">
        <f t="shared" si="7"/>
        <v>500</v>
      </c>
      <c r="E16" s="33">
        <f>VLOOKUP(A16,Question1_Parameters!$A$18:$B$21,2,1)*C16</f>
        <v>1560</v>
      </c>
      <c r="F16" s="61">
        <f>(C16-D16-E16)*Question1_Parameters!$B$8</f>
        <v>3495.8</v>
      </c>
      <c r="G16" s="52">
        <f>VLOOKUP(B16,Question1_Parameters!$A$25:$B$55,2,0)</f>
        <v>1.1344E-2</v>
      </c>
      <c r="H16" s="52">
        <f>1-VLOOKUP(B16,Question1_Parameters!$A$14:$B$15,2,1)</f>
        <v>1.01</v>
      </c>
      <c r="I16" s="52">
        <f t="shared" si="3"/>
        <v>0.93111204947906367</v>
      </c>
      <c r="J16" s="52">
        <f t="shared" si="4"/>
        <v>0.92044388903888019</v>
      </c>
      <c r="K16" s="61">
        <f>G16*H16*Question1_Parameters!$B$1</f>
        <v>57287.199999999997</v>
      </c>
      <c r="L16" s="34">
        <f>K16*(1+Question1_Parameters!$B$8)^0.5</f>
        <v>59258.340456924707</v>
      </c>
      <c r="M16" s="61">
        <f t="shared" si="5"/>
        <v>-3851.3999999999942</v>
      </c>
      <c r="N16" s="61">
        <f>MIN(80%*(A16),120%*(Question1_Parameters!$B$4-A16))*C16*J16</f>
        <v>57435.698676026121</v>
      </c>
      <c r="O16" s="34">
        <f>N16-N15*(1+Question1_Parameters!$B$8)</f>
        <v>-66901.279963210123</v>
      </c>
      <c r="P16" s="61">
        <f t="shared" si="6"/>
        <v>63315.195015846461</v>
      </c>
      <c r="Q16" s="52">
        <f t="shared" si="0"/>
        <v>0.20461981261590317</v>
      </c>
    </row>
    <row r="17" spans="1:17">
      <c r="A17" s="33">
        <f t="shared" si="1"/>
        <v>15</v>
      </c>
      <c r="B17" s="33">
        <f t="shared" si="2"/>
        <v>64</v>
      </c>
      <c r="C17" s="33">
        <f>Question1_Parameters!$B$2</f>
        <v>52000</v>
      </c>
      <c r="D17" s="33">
        <f t="shared" si="7"/>
        <v>500</v>
      </c>
      <c r="E17" s="33">
        <f>VLOOKUP(A17,Question1_Parameters!$A$18:$B$21,2,1)*C17</f>
        <v>1560</v>
      </c>
      <c r="F17" s="61">
        <f>(C17-D17-E17)*Question1_Parameters!$B$8</f>
        <v>3495.8</v>
      </c>
      <c r="G17" s="52">
        <f>VLOOKUP(B17,Question1_Parameters!$A$25:$B$55,2,0)</f>
        <v>1.2716E-2</v>
      </c>
      <c r="H17" s="52">
        <f>1-VLOOKUP(B17,Question1_Parameters!$A$14:$B$15,2,1)</f>
        <v>1.01</v>
      </c>
      <c r="I17" s="52">
        <f t="shared" si="3"/>
        <v>0.92044388903888019</v>
      </c>
      <c r="J17" s="52">
        <f t="shared" si="4"/>
        <v>0.90862248090093167</v>
      </c>
      <c r="K17" s="61">
        <f>G17*H17*Question1_Parameters!$B$1</f>
        <v>64215.799999999996</v>
      </c>
      <c r="L17" s="34">
        <f>K17*(1+Question1_Parameters!$B$8)^0.5</f>
        <v>66425.340025586615</v>
      </c>
      <c r="M17" s="61">
        <f t="shared" si="5"/>
        <v>-10779.999999999993</v>
      </c>
      <c r="N17" s="61">
        <f>MIN(80%*(A17),120%*(Question1_Parameters!$B$4-A17))*C17*J17</f>
        <v>0</v>
      </c>
      <c r="O17" s="34">
        <f>N17-N16*(1+Question1_Parameters!$B$8)</f>
        <v>-61456.197583347952</v>
      </c>
      <c r="P17" s="61">
        <f t="shared" si="6"/>
        <v>51533.81245950883</v>
      </c>
      <c r="Q17" s="52">
        <f t="shared" si="0"/>
        <v>0.18269626126419927</v>
      </c>
    </row>
    <row r="19" spans="1:17" ht="60">
      <c r="A19" s="54" t="s">
        <v>87</v>
      </c>
      <c r="C19" s="33">
        <f>SUMPRODUCT($C$3:$C$17,$I$3:$I$17,$Q$3:$Q$17)*(1+$B$1)</f>
        <v>388833.4870796859</v>
      </c>
    </row>
    <row r="20" spans="1:17" ht="60">
      <c r="A20" s="54" t="s">
        <v>88</v>
      </c>
      <c r="C20" s="33">
        <f>SUMPRODUCT($P$3:$P$17,$Q$3:$Q$17)</f>
        <v>119924.22580891418</v>
      </c>
    </row>
    <row r="22" spans="1:17">
      <c r="A22" s="33" t="s">
        <v>89</v>
      </c>
      <c r="C22" s="56">
        <f>C20/C19</f>
        <v>0.30842051879224441</v>
      </c>
      <c r="D22" s="48" t="s">
        <v>24</v>
      </c>
    </row>
  </sheetData>
  <pageMargins left="0.75" right="0.75" top="1" bottom="1" header="0.51180555555555496" footer="0.51180555555555496"/>
  <pageSetup firstPageNumber="0" orientation="portrait" useFirstPageNumber="1"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7"/>
  <sheetViews>
    <sheetView workbookViewId="0">
      <selection activeCell="A2" sqref="A2:J4"/>
    </sheetView>
  </sheetViews>
  <sheetFormatPr defaultColWidth="9.140625" defaultRowHeight="15"/>
  <cols>
    <col min="1" max="1" width="9.140625" style="59"/>
    <col min="2" max="2" width="12.42578125" style="33" customWidth="1"/>
    <col min="3" max="16384" width="9.140625" style="33"/>
  </cols>
  <sheetData>
    <row r="1" spans="1:11">
      <c r="A1" s="59" t="s">
        <v>101</v>
      </c>
      <c r="B1" s="57"/>
    </row>
    <row r="2" spans="1:11" ht="14.45" customHeight="1">
      <c r="A2" s="67" t="s">
        <v>102</v>
      </c>
      <c r="B2" s="67"/>
      <c r="C2" s="67"/>
      <c r="D2" s="67"/>
      <c r="E2" s="67"/>
      <c r="F2" s="67"/>
      <c r="G2" s="67"/>
      <c r="H2" s="67"/>
      <c r="I2" s="67"/>
      <c r="J2" s="67"/>
    </row>
    <row r="3" spans="1:11">
      <c r="A3" s="67"/>
      <c r="B3" s="67"/>
      <c r="C3" s="67"/>
      <c r="D3" s="67"/>
      <c r="E3" s="67"/>
      <c r="F3" s="67"/>
      <c r="G3" s="67"/>
      <c r="H3" s="67"/>
      <c r="I3" s="67"/>
      <c r="J3" s="67"/>
    </row>
    <row r="4" spans="1:11">
      <c r="A4" s="67"/>
      <c r="B4" s="67"/>
      <c r="C4" s="67"/>
      <c r="D4" s="67"/>
      <c r="E4" s="67"/>
      <c r="F4" s="67"/>
      <c r="G4" s="67"/>
      <c r="H4" s="67"/>
      <c r="I4" s="67"/>
      <c r="J4" s="67"/>
      <c r="K4" s="48">
        <v>2</v>
      </c>
    </row>
    <row r="5" spans="1:11">
      <c r="B5" s="58"/>
    </row>
    <row r="6" spans="1:11">
      <c r="B6" s="58"/>
    </row>
    <row r="7" spans="1:11">
      <c r="B7" s="58"/>
    </row>
    <row r="8" spans="1:11">
      <c r="B8" s="58"/>
    </row>
    <row r="9" spans="1:11">
      <c r="B9" s="58"/>
    </row>
    <row r="10" spans="1:11">
      <c r="B10" s="58"/>
    </row>
    <row r="11" spans="1:11">
      <c r="B11" s="58"/>
    </row>
    <row r="12" spans="1:11">
      <c r="B12" s="58"/>
    </row>
    <row r="13" spans="1:11">
      <c r="B13" s="58"/>
    </row>
    <row r="14" spans="1:11">
      <c r="B14" s="58"/>
    </row>
    <row r="15" spans="1:11">
      <c r="B15" s="58"/>
    </row>
    <row r="16" spans="1:11">
      <c r="B16" s="58"/>
    </row>
    <row r="17" spans="2:2">
      <c r="B17" s="58"/>
    </row>
  </sheetData>
  <mergeCells count="1">
    <mergeCell ref="A2:J4"/>
  </mergeCells>
  <pageMargins left="0.75" right="0.75" top="1" bottom="1" header="0.51180555555555496" footer="0.51180555555555496"/>
  <pageSetup paperSize="9" firstPageNumber="0" orientation="portrait" useFirstPageNumber="1"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R22"/>
  <sheetViews>
    <sheetView topLeftCell="A16" workbookViewId="0">
      <selection activeCell="F4" sqref="F4"/>
    </sheetView>
  </sheetViews>
  <sheetFormatPr defaultColWidth="9.140625" defaultRowHeight="15"/>
  <cols>
    <col min="1" max="1" width="18.7109375" style="33" customWidth="1"/>
    <col min="2" max="2" width="5" style="33" customWidth="1"/>
    <col min="3" max="3" width="9.7109375" style="33" customWidth="1"/>
    <col min="4" max="4" width="9" style="33" customWidth="1"/>
    <col min="5" max="5" width="12.140625" style="33" customWidth="1"/>
    <col min="6" max="6" width="10.42578125" style="33" customWidth="1"/>
    <col min="7" max="7" width="9.5703125" style="33" customWidth="1"/>
    <col min="8" max="8" width="11" style="33" customWidth="1"/>
    <col min="9" max="10" width="10.85546875" style="33" customWidth="1"/>
    <col min="11" max="11" width="13.28515625" style="33" customWidth="1"/>
    <col min="12" max="12" width="14.5703125" style="33" customWidth="1"/>
    <col min="13" max="13" width="9.28515625" style="33" customWidth="1"/>
    <col min="14" max="14" width="19.140625" style="33" customWidth="1"/>
    <col min="15" max="15" width="14.140625" style="33" customWidth="1"/>
    <col min="16" max="16" width="9.5703125" style="33" customWidth="1"/>
    <col min="17" max="16384" width="9.140625" style="33"/>
  </cols>
  <sheetData>
    <row r="1" spans="1:18">
      <c r="A1" s="47" t="s">
        <v>74</v>
      </c>
      <c r="B1" s="35">
        <f>Question1_Parameters!B9+5%</f>
        <v>0.13</v>
      </c>
      <c r="C1" s="48" t="s">
        <v>24</v>
      </c>
      <c r="P1" s="64" t="s">
        <v>105</v>
      </c>
    </row>
    <row r="2" spans="1:18" ht="75">
      <c r="A2" s="47" t="s">
        <v>75</v>
      </c>
      <c r="B2" s="47" t="s">
        <v>0</v>
      </c>
      <c r="C2" s="47" t="s">
        <v>63</v>
      </c>
      <c r="D2" s="47" t="s">
        <v>9</v>
      </c>
      <c r="E2" s="47" t="s">
        <v>76</v>
      </c>
      <c r="F2" s="49" t="s">
        <v>77</v>
      </c>
      <c r="G2" s="49" t="s">
        <v>1</v>
      </c>
      <c r="H2" s="49" t="s">
        <v>78</v>
      </c>
      <c r="I2" s="49" t="s">
        <v>79</v>
      </c>
      <c r="J2" s="50" t="s">
        <v>80</v>
      </c>
      <c r="K2" s="49" t="s">
        <v>81</v>
      </c>
      <c r="L2" s="49" t="s">
        <v>82</v>
      </c>
      <c r="M2" s="49" t="s">
        <v>83</v>
      </c>
      <c r="N2" s="51" t="s">
        <v>84</v>
      </c>
      <c r="O2" s="49" t="s">
        <v>85</v>
      </c>
      <c r="P2" s="49" t="s">
        <v>86</v>
      </c>
      <c r="Q2" s="49"/>
      <c r="R2" s="49"/>
    </row>
    <row r="3" spans="1:18">
      <c r="A3" s="33">
        <v>1</v>
      </c>
      <c r="B3" s="33">
        <f>Question1_Parameters!B3</f>
        <v>50</v>
      </c>
      <c r="C3" s="34">
        <f>Question1_Parameters!$B$2</f>
        <v>52000</v>
      </c>
      <c r="D3" s="34">
        <f>Question1_Parameters!B6</f>
        <v>3000</v>
      </c>
      <c r="E3" s="34">
        <f>VLOOKUP(A3,Question1_Parameters!$A$18:$B$21,2,1)*C3</f>
        <v>18200</v>
      </c>
      <c r="F3" s="62">
        <f>(C3-D3-E3)*Question1_Parameters!$B$9</f>
        <v>2464</v>
      </c>
      <c r="G3" s="52">
        <f>VLOOKUP(B3,Question1_Parameters!$A$25:$B$55,2,0)</f>
        <v>2.5079999999999998E-3</v>
      </c>
      <c r="H3" s="52">
        <v>1</v>
      </c>
      <c r="I3" s="52">
        <f t="shared" ref="I3:I17" si="0">H3*(1-G3)</f>
        <v>0.99749200000000005</v>
      </c>
      <c r="J3" s="53">
        <f>G3*Question1_Parameters!$B$1</f>
        <v>12539.999999999998</v>
      </c>
      <c r="K3" s="62">
        <f>J3*(1+Question1_Parameters!$B$9)^0.5</f>
        <v>13031.950276148233</v>
      </c>
      <c r="L3" s="34">
        <f t="shared" ref="L3:L17" si="1">+C3-D3-E3+F3-K3</f>
        <v>20232.049723851767</v>
      </c>
      <c r="M3" s="34">
        <f>MIN(80%*(A3),120%*(Question1_Parameters!$B$4-A3))*C3*I3</f>
        <v>41495.667200000004</v>
      </c>
      <c r="N3" s="34">
        <f>M3</f>
        <v>41495.667200000004</v>
      </c>
      <c r="O3" s="34">
        <f t="shared" ref="O3:O17" si="2">L3*H3-(N3)</f>
        <v>-21263.617476148236</v>
      </c>
      <c r="P3" s="52">
        <f t="shared" ref="P3:P17" si="3">(1+$B$1)^(-A3)</f>
        <v>0.88495575221238942</v>
      </c>
    </row>
    <row r="4" spans="1:18">
      <c r="A4" s="33">
        <f t="shared" ref="A4:A17" si="4">+A3+1</f>
        <v>2</v>
      </c>
      <c r="B4" s="33">
        <f t="shared" ref="B4:B17" si="5">+B3+A4-A3</f>
        <v>51</v>
      </c>
      <c r="C4" s="34">
        <f>Question1_Parameters!$B$2</f>
        <v>52000</v>
      </c>
      <c r="D4" s="34">
        <f>Question1_Parameters!B7</f>
        <v>500</v>
      </c>
      <c r="E4" s="34">
        <f>VLOOKUP(A4,Question1_Parameters!$A$18:$B$21,2,1)*C4</f>
        <v>2600</v>
      </c>
      <c r="F4" s="62">
        <f>(C4-D4-E4)*Question1_Parameters!$B$9</f>
        <v>3912</v>
      </c>
      <c r="G4" s="52">
        <f>VLOOKUP(B4,Question1_Parameters!$A$25:$B$55,2,0)</f>
        <v>2.8089999999999999E-3</v>
      </c>
      <c r="H4" s="52">
        <f t="shared" ref="H4:H17" si="6">I3</f>
        <v>0.99749200000000005</v>
      </c>
      <c r="I4" s="52">
        <f t="shared" si="0"/>
        <v>0.99469004497200009</v>
      </c>
      <c r="J4" s="53">
        <f>G4*Question1_Parameters!$B$1</f>
        <v>14045</v>
      </c>
      <c r="K4" s="62">
        <f>J4*(1+Question1_Parameters!$B$9)^0.5</f>
        <v>14595.99215538293</v>
      </c>
      <c r="L4" s="34">
        <f t="shared" si="1"/>
        <v>38216.007844617066</v>
      </c>
      <c r="M4" s="34">
        <f>MIN(80%*(A4),120%*(Question1_Parameters!$B$4-A4))*C4*I4</f>
        <v>82758.211741670413</v>
      </c>
      <c r="N4" s="63">
        <f>M4-M3*(1+Question1_Parameters!$B$9)</f>
        <v>37942.891165670408</v>
      </c>
      <c r="O4" s="34">
        <f t="shared" si="2"/>
        <v>177.27093127236003</v>
      </c>
      <c r="P4" s="52">
        <f t="shared" si="3"/>
        <v>0.78314668337379612</v>
      </c>
    </row>
    <row r="5" spans="1:18">
      <c r="A5" s="33">
        <f t="shared" si="4"/>
        <v>3</v>
      </c>
      <c r="B5" s="33">
        <f t="shared" si="5"/>
        <v>52</v>
      </c>
      <c r="C5" s="34">
        <f>Question1_Parameters!$B$2</f>
        <v>52000</v>
      </c>
      <c r="D5" s="34">
        <f t="shared" ref="D5:D17" si="7">D4</f>
        <v>500</v>
      </c>
      <c r="E5" s="34">
        <f>VLOOKUP(A5,Question1_Parameters!$A$18:$B$21,2,1)*C5</f>
        <v>2600</v>
      </c>
      <c r="F5" s="62">
        <f>(C5-D5-E5)*Question1_Parameters!$B$9</f>
        <v>3912</v>
      </c>
      <c r="G5" s="52">
        <f>VLOOKUP(B5,Question1_Parameters!$A$25:$B$55,2,0)</f>
        <v>3.1519999999999999E-3</v>
      </c>
      <c r="H5" s="52">
        <f t="shared" si="6"/>
        <v>0.99469004497200009</v>
      </c>
      <c r="I5" s="52">
        <f t="shared" si="0"/>
        <v>0.99155478195024827</v>
      </c>
      <c r="J5" s="53">
        <f>G5*Question1_Parameters!$B$1</f>
        <v>15760</v>
      </c>
      <c r="K5" s="62">
        <f>J5*(1+Question1_Parameters!$B$9)^0.5</f>
        <v>16378.272436371306</v>
      </c>
      <c r="L5" s="34">
        <f t="shared" si="1"/>
        <v>36433.727563628694</v>
      </c>
      <c r="M5" s="34">
        <f>MIN(80%*(A5),120%*(Question1_Parameters!$B$4-A5))*C5*I5</f>
        <v>123746.036787391</v>
      </c>
      <c r="N5" s="63">
        <f>M5-M4*(1+Question1_Parameters!$B$9)</f>
        <v>34367.168106386947</v>
      </c>
      <c r="O5" s="34">
        <f t="shared" si="2"/>
        <v>1873.0980023764787</v>
      </c>
      <c r="P5" s="52">
        <f t="shared" si="3"/>
        <v>0.69305016227769578</v>
      </c>
    </row>
    <row r="6" spans="1:18">
      <c r="A6" s="33">
        <f t="shared" si="4"/>
        <v>4</v>
      </c>
      <c r="B6" s="33">
        <f t="shared" si="5"/>
        <v>53</v>
      </c>
      <c r="C6" s="34">
        <f>Question1_Parameters!$B$2</f>
        <v>52000</v>
      </c>
      <c r="D6" s="34">
        <f t="shared" si="7"/>
        <v>500</v>
      </c>
      <c r="E6" s="34">
        <f>VLOOKUP(A6,Question1_Parameters!$A$18:$B$21,2,1)*C6</f>
        <v>1560</v>
      </c>
      <c r="F6" s="62">
        <f>(C6-D6-E6)*Question1_Parameters!$B$9</f>
        <v>3995.2000000000003</v>
      </c>
      <c r="G6" s="52">
        <f>VLOOKUP(B6,Question1_Parameters!$A$25:$B$55,2,0)</f>
        <v>3.539E-3</v>
      </c>
      <c r="H6" s="52">
        <f t="shared" si="6"/>
        <v>0.99155478195024827</v>
      </c>
      <c r="I6" s="52">
        <f t="shared" si="0"/>
        <v>0.98804566957692641</v>
      </c>
      <c r="J6" s="53">
        <f>G6*Question1_Parameters!$B$1</f>
        <v>17695</v>
      </c>
      <c r="K6" s="62">
        <f>J6*(1+Question1_Parameters!$B$9)^0.5</f>
        <v>18389.183423958773</v>
      </c>
      <c r="L6" s="34">
        <f t="shared" si="1"/>
        <v>35546.01657604122</v>
      </c>
      <c r="M6" s="34">
        <f>MIN(80%*(A6),120%*(Question1_Parameters!$B$4-A6))*C6*I6</f>
        <v>164410.79941760056</v>
      </c>
      <c r="N6" s="63">
        <f>M6-M5*(1+Question1_Parameters!$B$9)</f>
        <v>30765.079687218269</v>
      </c>
      <c r="O6" s="34">
        <f t="shared" si="2"/>
        <v>4480.7430280381959</v>
      </c>
      <c r="P6" s="52">
        <f t="shared" si="3"/>
        <v>0.61331872767937679</v>
      </c>
    </row>
    <row r="7" spans="1:18">
      <c r="A7" s="33">
        <f t="shared" si="4"/>
        <v>5</v>
      </c>
      <c r="B7" s="33">
        <f t="shared" si="5"/>
        <v>54</v>
      </c>
      <c r="C7" s="34">
        <f>Question1_Parameters!$B$2</f>
        <v>52000</v>
      </c>
      <c r="D7" s="34">
        <f t="shared" si="7"/>
        <v>500</v>
      </c>
      <c r="E7" s="34">
        <f>VLOOKUP(A7,Question1_Parameters!$A$18:$B$21,2,1)*C7</f>
        <v>1560</v>
      </c>
      <c r="F7" s="62">
        <f>(C7-D7-E7)*Question1_Parameters!$B$9</f>
        <v>3995.2000000000003</v>
      </c>
      <c r="G7" s="52">
        <f>VLOOKUP(B7,Question1_Parameters!$A$25:$B$55,2,0)</f>
        <v>3.9760000000000004E-3</v>
      </c>
      <c r="H7" s="52">
        <f t="shared" si="6"/>
        <v>0.98804566957692641</v>
      </c>
      <c r="I7" s="52">
        <f t="shared" si="0"/>
        <v>0.98411719999468861</v>
      </c>
      <c r="J7" s="53">
        <f>G7*Question1_Parameters!$B$1</f>
        <v>19880.000000000004</v>
      </c>
      <c r="K7" s="62">
        <f>J7*(1+Question1_Parameters!$B$9)^0.5</f>
        <v>20659.902032681573</v>
      </c>
      <c r="L7" s="34">
        <f t="shared" si="1"/>
        <v>33275.297967318424</v>
      </c>
      <c r="M7" s="34">
        <f>MIN(80%*(A7),120%*(Question1_Parameters!$B$4-A7))*C7*I7</f>
        <v>204696.37759889523</v>
      </c>
      <c r="N7" s="63">
        <f>M7-M6*(1+Question1_Parameters!$B$9)</f>
        <v>27132.714227886609</v>
      </c>
      <c r="O7" s="34">
        <f t="shared" si="2"/>
        <v>5744.7998326042652</v>
      </c>
      <c r="P7" s="52">
        <f t="shared" si="3"/>
        <v>0.54275993599944861</v>
      </c>
    </row>
    <row r="8" spans="1:18">
      <c r="A8" s="33">
        <f t="shared" si="4"/>
        <v>6</v>
      </c>
      <c r="B8" s="33">
        <f t="shared" si="5"/>
        <v>55</v>
      </c>
      <c r="C8" s="34">
        <f>Question1_Parameters!$B$2</f>
        <v>52000</v>
      </c>
      <c r="D8" s="34">
        <f t="shared" si="7"/>
        <v>500</v>
      </c>
      <c r="E8" s="34">
        <f>VLOOKUP(A8,Question1_Parameters!$A$18:$B$21,2,1)*C8</f>
        <v>1560</v>
      </c>
      <c r="F8" s="62">
        <f>(C8-D8-E8)*Question1_Parameters!$B$9</f>
        <v>3995.2000000000003</v>
      </c>
      <c r="G8" s="52">
        <f>VLOOKUP(B8,Question1_Parameters!$A$25:$B$55,2,0)</f>
        <v>4.4689999999999999E-3</v>
      </c>
      <c r="H8" s="52">
        <f t="shared" si="6"/>
        <v>0.98411719999468861</v>
      </c>
      <c r="I8" s="52">
        <f t="shared" si="0"/>
        <v>0.97971918022791238</v>
      </c>
      <c r="J8" s="53">
        <f>G8*Question1_Parameters!$B$1</f>
        <v>22345</v>
      </c>
      <c r="K8" s="62">
        <f>J8*(1+Question1_Parameters!$B$9)^0.5</f>
        <v>23221.60517707594</v>
      </c>
      <c r="L8" s="34">
        <f t="shared" si="1"/>
        <v>30713.594822924057</v>
      </c>
      <c r="M8" s="34">
        <f>MIN(80%*(A8),120%*(Question1_Parameters!$B$4-A8))*C8*I8</f>
        <v>244537.90738488696</v>
      </c>
      <c r="N8" s="63">
        <f>M8-M7*(1+Question1_Parameters!$B$9)</f>
        <v>23465.819578080089</v>
      </c>
      <c r="O8" s="34">
        <f t="shared" si="2"/>
        <v>6759.9573608272985</v>
      </c>
      <c r="P8" s="52">
        <f t="shared" si="3"/>
        <v>0.48031852743314046</v>
      </c>
    </row>
    <row r="9" spans="1:18">
      <c r="A9" s="33">
        <f t="shared" si="4"/>
        <v>7</v>
      </c>
      <c r="B9" s="33">
        <f t="shared" si="5"/>
        <v>56</v>
      </c>
      <c r="C9" s="34">
        <f>Question1_Parameters!$B$2</f>
        <v>52000</v>
      </c>
      <c r="D9" s="34">
        <f t="shared" si="7"/>
        <v>500</v>
      </c>
      <c r="E9" s="34">
        <f>VLOOKUP(A9,Question1_Parameters!$A$18:$B$21,2,1)*C9</f>
        <v>1560</v>
      </c>
      <c r="F9" s="62">
        <f>(C9-D9-E9)*Question1_Parameters!$B$9</f>
        <v>3995.2000000000003</v>
      </c>
      <c r="G9" s="52">
        <f>VLOOKUP(B9,Question1_Parameters!$A$25:$B$55,2,0)</f>
        <v>5.025E-3</v>
      </c>
      <c r="H9" s="52">
        <f t="shared" si="6"/>
        <v>0.97971918022791238</v>
      </c>
      <c r="I9" s="52">
        <f t="shared" si="0"/>
        <v>0.97479609134726719</v>
      </c>
      <c r="J9" s="53">
        <f>G9*Question1_Parameters!$B$1</f>
        <v>25125</v>
      </c>
      <c r="K9" s="62">
        <f>J9*(1+Question1_Parameters!$B$9)^0.5</f>
        <v>26110.665924100827</v>
      </c>
      <c r="L9" s="34">
        <f t="shared" si="1"/>
        <v>27824.53407589917</v>
      </c>
      <c r="M9" s="34">
        <f>MIN(80%*(A9),120%*(Question1_Parameters!$B$4-A9))*C9*I9</f>
        <v>283860.62180032418</v>
      </c>
      <c r="N9" s="63">
        <f>M9-M8*(1+Question1_Parameters!$B$9)</f>
        <v>19759.68182464625</v>
      </c>
      <c r="O9" s="34">
        <f t="shared" si="2"/>
        <v>7500.5478904172996</v>
      </c>
      <c r="P9" s="52">
        <f t="shared" si="3"/>
        <v>0.425060643746142</v>
      </c>
    </row>
    <row r="10" spans="1:18">
      <c r="A10" s="33">
        <f t="shared" si="4"/>
        <v>8</v>
      </c>
      <c r="B10" s="33">
        <f t="shared" si="5"/>
        <v>57</v>
      </c>
      <c r="C10" s="34">
        <f>Question1_Parameters!$B$2</f>
        <v>52000</v>
      </c>
      <c r="D10" s="34">
        <f t="shared" si="7"/>
        <v>500</v>
      </c>
      <c r="E10" s="34">
        <f>VLOOKUP(A10,Question1_Parameters!$A$18:$B$21,2,1)*C10</f>
        <v>1560</v>
      </c>
      <c r="F10" s="62">
        <f>(C10-D10-E10)*Question1_Parameters!$B$9</f>
        <v>3995.2000000000003</v>
      </c>
      <c r="G10" s="52">
        <f>VLOOKUP(B10,Question1_Parameters!$A$25:$B$55,2,0)</f>
        <v>5.6499999999999996E-3</v>
      </c>
      <c r="H10" s="52">
        <f t="shared" si="6"/>
        <v>0.97479609134726719</v>
      </c>
      <c r="I10" s="52">
        <f t="shared" si="0"/>
        <v>0.96928849343115508</v>
      </c>
      <c r="J10" s="53">
        <f>G10*Question1_Parameters!$B$1</f>
        <v>28250</v>
      </c>
      <c r="K10" s="62">
        <f>J10*(1+Question1_Parameters!$B$9)^0.5</f>
        <v>29358.261188292472</v>
      </c>
      <c r="L10" s="34">
        <f t="shared" si="1"/>
        <v>24576.938811707525</v>
      </c>
      <c r="M10" s="34">
        <f>MIN(80%*(A10),120%*(Question1_Parameters!$B$4-A10))*C10*I10</f>
        <v>322579.2106138884</v>
      </c>
      <c r="N10" s="63">
        <f>M10-M9*(1+Question1_Parameters!$B$9)</f>
        <v>16009.739069538249</v>
      </c>
      <c r="O10" s="34">
        <f t="shared" si="2"/>
        <v>7947.7648213951943</v>
      </c>
      <c r="P10" s="52">
        <f t="shared" si="3"/>
        <v>0.37615986172224958</v>
      </c>
    </row>
    <row r="11" spans="1:18">
      <c r="A11" s="33">
        <f t="shared" si="4"/>
        <v>9</v>
      </c>
      <c r="B11" s="33">
        <f t="shared" si="5"/>
        <v>58</v>
      </c>
      <c r="C11" s="34">
        <f>Question1_Parameters!$B$2</f>
        <v>52000</v>
      </c>
      <c r="D11" s="34">
        <f t="shared" si="7"/>
        <v>500</v>
      </c>
      <c r="E11" s="34">
        <f>VLOOKUP(A11,Question1_Parameters!$A$18:$B$21,2,1)*C11</f>
        <v>1560</v>
      </c>
      <c r="F11" s="62">
        <f>(C11-D11-E11)*Question1_Parameters!$B$9</f>
        <v>3995.2000000000003</v>
      </c>
      <c r="G11" s="52">
        <f>VLOOKUP(B11,Question1_Parameters!$A$25:$B$55,2,0)</f>
        <v>6.352E-3</v>
      </c>
      <c r="H11" s="52">
        <f t="shared" si="6"/>
        <v>0.96928849343115508</v>
      </c>
      <c r="I11" s="52">
        <f t="shared" si="0"/>
        <v>0.96313157292088036</v>
      </c>
      <c r="J11" s="53">
        <f>G11*Question1_Parameters!$B$1</f>
        <v>31760</v>
      </c>
      <c r="K11" s="62">
        <f>J11*(1+Question1_Parameters!$B$9)^0.5</f>
        <v>33005.960189032528</v>
      </c>
      <c r="L11" s="34">
        <f t="shared" si="1"/>
        <v>20929.239810967469</v>
      </c>
      <c r="M11" s="34">
        <f>MIN(80%*(A11),120%*(Question1_Parameters!$B$4-A11))*C11*I11</f>
        <v>360596.46090157755</v>
      </c>
      <c r="N11" s="63">
        <f>M11-M10*(1+Question1_Parameters!$B$9)</f>
        <v>12210.913438578078</v>
      </c>
      <c r="O11" s="34">
        <f t="shared" si="2"/>
        <v>8075.5578864539311</v>
      </c>
      <c r="P11" s="52">
        <f t="shared" si="3"/>
        <v>0.33288483338252178</v>
      </c>
    </row>
    <row r="12" spans="1:18">
      <c r="A12" s="33">
        <f t="shared" si="4"/>
        <v>10</v>
      </c>
      <c r="B12" s="33">
        <f t="shared" si="5"/>
        <v>59</v>
      </c>
      <c r="C12" s="34">
        <f>Question1_Parameters!$B$2</f>
        <v>52000</v>
      </c>
      <c r="D12" s="34">
        <f t="shared" si="7"/>
        <v>500</v>
      </c>
      <c r="E12" s="34">
        <f>VLOOKUP(A12,Question1_Parameters!$A$18:$B$21,2,1)*C12</f>
        <v>1560</v>
      </c>
      <c r="F12" s="62">
        <f>(C12-D12-E12)*Question1_Parameters!$B$9</f>
        <v>3995.2000000000003</v>
      </c>
      <c r="G12" s="52">
        <f>VLOOKUP(B12,Question1_Parameters!$A$25:$B$55,2,0)</f>
        <v>7.1399999999999996E-3</v>
      </c>
      <c r="H12" s="52">
        <f t="shared" si="6"/>
        <v>0.96313157292088036</v>
      </c>
      <c r="I12" s="52">
        <f t="shared" si="0"/>
        <v>0.95625481349022523</v>
      </c>
      <c r="J12" s="53">
        <f>G12*Question1_Parameters!$B$1</f>
        <v>35700</v>
      </c>
      <c r="K12" s="62">
        <f>J12*(1+Question1_Parameters!$B$9)^0.5</f>
        <v>37100.528298125355</v>
      </c>
      <c r="L12" s="34">
        <f t="shared" si="1"/>
        <v>16834.671701874642</v>
      </c>
      <c r="M12" s="34">
        <f>MIN(80%*(A12),120%*(Question1_Parameters!$B$4-A12))*C12*I12</f>
        <v>298351.50180895027</v>
      </c>
      <c r="N12" s="63">
        <f>M12-M11*(1+Question1_Parameters!$B$9)</f>
        <v>-91092.675964753493</v>
      </c>
      <c r="O12" s="34">
        <f t="shared" si="2"/>
        <v>107306.67980058666</v>
      </c>
      <c r="P12" s="52">
        <f t="shared" si="3"/>
        <v>0.2945883481261255</v>
      </c>
    </row>
    <row r="13" spans="1:18">
      <c r="A13" s="33">
        <f t="shared" si="4"/>
        <v>11</v>
      </c>
      <c r="B13" s="33">
        <f t="shared" si="5"/>
        <v>60</v>
      </c>
      <c r="C13" s="34">
        <f>Question1_Parameters!$B$2</f>
        <v>52000</v>
      </c>
      <c r="D13" s="34">
        <f t="shared" si="7"/>
        <v>500</v>
      </c>
      <c r="E13" s="34">
        <f>VLOOKUP(A13,Question1_Parameters!$A$18:$B$21,2,1)*C13</f>
        <v>1560</v>
      </c>
      <c r="F13" s="62">
        <f>(C13-D13-E13)*Question1_Parameters!$B$9</f>
        <v>3995.2000000000003</v>
      </c>
      <c r="G13" s="52">
        <f>VLOOKUP(B13,Question1_Parameters!$A$25:$B$55,2,0)</f>
        <v>8.0219999999999996E-3</v>
      </c>
      <c r="H13" s="52">
        <f t="shared" si="6"/>
        <v>0.95625481349022523</v>
      </c>
      <c r="I13" s="52">
        <f t="shared" si="0"/>
        <v>0.94858373737640667</v>
      </c>
      <c r="J13" s="53">
        <f>G13*Question1_Parameters!$B$1</f>
        <v>40110</v>
      </c>
      <c r="K13" s="62">
        <f>J13*(1+Question1_Parameters!$B$9)^0.5</f>
        <v>41683.534734952606</v>
      </c>
      <c r="L13" s="34">
        <f t="shared" si="1"/>
        <v>12251.665265047392</v>
      </c>
      <c r="M13" s="34">
        <f>MIN(80%*(A13),120%*(Question1_Parameters!$B$4-A13))*C13*I13</f>
        <v>236766.50084915111</v>
      </c>
      <c r="N13" s="63">
        <f>M13-M12*(1+Question1_Parameters!$B$9)</f>
        <v>-85453.121104515216</v>
      </c>
      <c r="O13" s="34">
        <f t="shared" si="2"/>
        <v>97168.834987487775</v>
      </c>
      <c r="P13" s="52">
        <f t="shared" si="3"/>
        <v>0.26069765320896066</v>
      </c>
    </row>
    <row r="14" spans="1:18">
      <c r="A14" s="33">
        <f t="shared" si="4"/>
        <v>12</v>
      </c>
      <c r="B14" s="33">
        <f t="shared" si="5"/>
        <v>61</v>
      </c>
      <c r="C14" s="34">
        <f>Question1_Parameters!$B$2</f>
        <v>52000</v>
      </c>
      <c r="D14" s="34">
        <f t="shared" si="7"/>
        <v>500</v>
      </c>
      <c r="E14" s="34">
        <f>VLOOKUP(A14,Question1_Parameters!$A$18:$B$21,2,1)*C14</f>
        <v>1560</v>
      </c>
      <c r="F14" s="62">
        <f>(C14-D14-E14)*Question1_Parameters!$B$9</f>
        <v>3995.2000000000003</v>
      </c>
      <c r="G14" s="52">
        <f>VLOOKUP(B14,Question1_Parameters!$A$25:$B$55,2,0)</f>
        <v>9.0089999999999996E-3</v>
      </c>
      <c r="H14" s="52">
        <f t="shared" si="6"/>
        <v>0.94858373737640667</v>
      </c>
      <c r="I14" s="52">
        <f t="shared" si="0"/>
        <v>0.94003794648638261</v>
      </c>
      <c r="J14" s="53">
        <f>G14*Question1_Parameters!$B$1</f>
        <v>45045</v>
      </c>
      <c r="K14" s="62">
        <f>J14*(1+Question1_Parameters!$B$9)^0.5</f>
        <v>46812.137176164055</v>
      </c>
      <c r="L14" s="34">
        <f t="shared" si="1"/>
        <v>7123.0628238359423</v>
      </c>
      <c r="M14" s="34">
        <f>MIN(80%*(A14),120%*(Question1_Parameters!$B$4-A14))*C14*I14</f>
        <v>175975.1035822508</v>
      </c>
      <c r="N14" s="63">
        <f>M14-M13*(1+Question1_Parameters!$B$9)</f>
        <v>-79732.717334832414</v>
      </c>
      <c r="O14" s="34">
        <f t="shared" si="2"/>
        <v>86489.538889833653</v>
      </c>
      <c r="P14" s="52">
        <f t="shared" si="3"/>
        <v>0.23070588779554044</v>
      </c>
    </row>
    <row r="15" spans="1:18">
      <c r="A15" s="33">
        <f t="shared" si="4"/>
        <v>13</v>
      </c>
      <c r="B15" s="33">
        <f t="shared" si="5"/>
        <v>62</v>
      </c>
      <c r="C15" s="34">
        <f>Question1_Parameters!$B$2</f>
        <v>52000</v>
      </c>
      <c r="D15" s="34">
        <f t="shared" si="7"/>
        <v>500</v>
      </c>
      <c r="E15" s="34">
        <f>VLOOKUP(A15,Question1_Parameters!$A$18:$B$21,2,1)*C15</f>
        <v>1560</v>
      </c>
      <c r="F15" s="62">
        <f>(C15-D15-E15)*Question1_Parameters!$B$9</f>
        <v>3995.2000000000003</v>
      </c>
      <c r="G15" s="52">
        <f>VLOOKUP(B15,Question1_Parameters!$A$25:$B$55,2,0)</f>
        <v>1.0111999999999999E-2</v>
      </c>
      <c r="H15" s="52">
        <f t="shared" si="6"/>
        <v>0.94003794648638261</v>
      </c>
      <c r="I15" s="52">
        <f t="shared" si="0"/>
        <v>0.93053228277151234</v>
      </c>
      <c r="J15" s="53">
        <f>G15*Question1_Parameters!$B$1</f>
        <v>50560</v>
      </c>
      <c r="K15" s="62">
        <f>J15*(1+Question1_Parameters!$B$9)^0.5</f>
        <v>52543.49329840947</v>
      </c>
      <c r="L15" s="34">
        <f t="shared" si="1"/>
        <v>1391.7067015905268</v>
      </c>
      <c r="M15" s="34">
        <f>MIN(80%*(A15),120%*(Question1_Parameters!$B$4-A15))*C15*I15</f>
        <v>116130.42888988474</v>
      </c>
      <c r="N15" s="63">
        <f>M15-M14*(1+Question1_Parameters!$B$9)</f>
        <v>-73922.682978946119</v>
      </c>
      <c r="O15" s="34">
        <f t="shared" si="2"/>
        <v>75230.940088820615</v>
      </c>
      <c r="P15" s="52">
        <f t="shared" si="3"/>
        <v>0.20416450247392959</v>
      </c>
    </row>
    <row r="16" spans="1:18">
      <c r="A16" s="33">
        <f t="shared" si="4"/>
        <v>14</v>
      </c>
      <c r="B16" s="33">
        <f t="shared" si="5"/>
        <v>63</v>
      </c>
      <c r="C16" s="34">
        <f>Question1_Parameters!$B$2</f>
        <v>52000</v>
      </c>
      <c r="D16" s="34">
        <f t="shared" si="7"/>
        <v>500</v>
      </c>
      <c r="E16" s="34">
        <f>VLOOKUP(A16,Question1_Parameters!$A$18:$B$21,2,1)*C16</f>
        <v>1560</v>
      </c>
      <c r="F16" s="62">
        <f>(C16-D16-E16)*Question1_Parameters!$B$9</f>
        <v>3995.2000000000003</v>
      </c>
      <c r="G16" s="52">
        <f>VLOOKUP(B16,Question1_Parameters!$A$25:$B$55,2,0)</f>
        <v>1.1344E-2</v>
      </c>
      <c r="H16" s="52">
        <f t="shared" si="6"/>
        <v>0.93053228277151234</v>
      </c>
      <c r="I16" s="52">
        <f t="shared" si="0"/>
        <v>0.91997632455575229</v>
      </c>
      <c r="J16" s="53">
        <f>G16*Question1_Parameters!$B$1</f>
        <v>56720</v>
      </c>
      <c r="K16" s="62">
        <f>J16*(1+Question1_Parameters!$B$9)^0.5</f>
        <v>58945.153083184035</v>
      </c>
      <c r="L16" s="34">
        <f t="shared" si="1"/>
        <v>-5009.9530831840384</v>
      </c>
      <c r="M16" s="34">
        <f>MIN(80%*(A16),120%*(Question1_Parameters!$B$4-A16))*C16*I16</f>
        <v>57406.522652278945</v>
      </c>
      <c r="N16" s="63">
        <f>M16-M15*(1+Question1_Parameters!$B$9)</f>
        <v>-68014.340548796594</v>
      </c>
      <c r="O16" s="34">
        <f t="shared" si="2"/>
        <v>63352.417469723172</v>
      </c>
      <c r="P16" s="52">
        <f t="shared" si="3"/>
        <v>0.18067655086188467</v>
      </c>
    </row>
    <row r="17" spans="1:16">
      <c r="A17" s="33">
        <f t="shared" si="4"/>
        <v>15</v>
      </c>
      <c r="B17" s="33">
        <f t="shared" si="5"/>
        <v>64</v>
      </c>
      <c r="C17" s="34">
        <f>Question1_Parameters!$B$2</f>
        <v>52000</v>
      </c>
      <c r="D17" s="34">
        <f t="shared" si="7"/>
        <v>500</v>
      </c>
      <c r="E17" s="34">
        <f>VLOOKUP(A17,Question1_Parameters!$A$18:$B$21,2,1)*C17</f>
        <v>1560</v>
      </c>
      <c r="F17" s="62">
        <f>(C17-D17-E17)*Question1_Parameters!$B$9</f>
        <v>3995.2000000000003</v>
      </c>
      <c r="G17" s="52">
        <f>VLOOKUP(B17,Question1_Parameters!$A$25:$B$55,2,0)</f>
        <v>1.2716E-2</v>
      </c>
      <c r="H17" s="52">
        <f t="shared" si="6"/>
        <v>0.91997632455575229</v>
      </c>
      <c r="I17" s="52">
        <f t="shared" si="0"/>
        <v>0.90827790561270139</v>
      </c>
      <c r="J17" s="53">
        <f>G17*Question1_Parameters!$B$1</f>
        <v>63580</v>
      </c>
      <c r="K17" s="62">
        <f>J17*(1+Question1_Parameters!$B$9)^0.5</f>
        <v>66074.27420713754</v>
      </c>
      <c r="L17" s="34">
        <f t="shared" si="1"/>
        <v>-12139.074207137543</v>
      </c>
      <c r="M17" s="34">
        <f>MIN(80%*(A17),120%*(Question1_Parameters!$B$4-A17))*C17*I17</f>
        <v>0</v>
      </c>
      <c r="N17" s="63">
        <f>M17-M16*(1+Question1_Parameters!$B$9)</f>
        <v>-61999.044464461265</v>
      </c>
      <c r="O17" s="34">
        <f t="shared" si="2"/>
        <v>50831.383591869337</v>
      </c>
      <c r="P17" s="52">
        <f t="shared" si="3"/>
        <v>0.15989075297511918</v>
      </c>
    </row>
    <row r="18" spans="1:16">
      <c r="H18" s="52"/>
    </row>
    <row r="19" spans="1:16" ht="60">
      <c r="A19" s="54" t="s">
        <v>87</v>
      </c>
      <c r="C19" s="34">
        <f>SUMPRODUCT($C$3:$C$17,$H$3:$H$17,$P$3:$P$17)*(1+$B$1)</f>
        <v>372385.47957551514</v>
      </c>
      <c r="D19" s="48"/>
      <c r="H19" s="55"/>
    </row>
    <row r="20" spans="1:16" ht="60">
      <c r="A20" s="54" t="s">
        <v>88</v>
      </c>
      <c r="C20" s="34">
        <f>SUMPRODUCT($O$3:$O$17,$P$3:$P$17)</f>
        <v>112428.65413264357</v>
      </c>
      <c r="D20" s="48"/>
    </row>
    <row r="21" spans="1:16">
      <c r="D21" s="48"/>
    </row>
    <row r="22" spans="1:16">
      <c r="A22" s="33" t="s">
        <v>89</v>
      </c>
      <c r="C22" s="56">
        <f>C20/C19</f>
        <v>0.30191471015680255</v>
      </c>
      <c r="D22" s="48" t="s">
        <v>24</v>
      </c>
    </row>
  </sheetData>
  <pageMargins left="0.75" right="0.75" top="1" bottom="1" header="0.51180555555555496" footer="0.51180555555555496"/>
  <pageSetup paperSize="9" firstPageNumber="0" orientation="portrait" useFirstPageNumber="1" horizontalDpi="300" verticalDpi="30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R22"/>
  <sheetViews>
    <sheetView topLeftCell="A16" workbookViewId="0"/>
  </sheetViews>
  <sheetFormatPr defaultColWidth="9.140625" defaultRowHeight="15"/>
  <cols>
    <col min="1" max="1" width="18.7109375" style="33" customWidth="1"/>
    <col min="2" max="2" width="5" style="33" customWidth="1"/>
    <col min="3" max="3" width="9.7109375" style="33" customWidth="1"/>
    <col min="4" max="4" width="9" style="33" customWidth="1"/>
    <col min="5" max="5" width="12.140625" style="33" customWidth="1"/>
    <col min="6" max="6" width="10.42578125" style="33" customWidth="1"/>
    <col min="7" max="7" width="9.5703125" style="33" customWidth="1"/>
    <col min="8" max="8" width="11" style="33" customWidth="1"/>
    <col min="9" max="10" width="10.85546875" style="33" customWidth="1"/>
    <col min="11" max="11" width="13.28515625" style="33" customWidth="1"/>
    <col min="12" max="12" width="14.5703125" style="33" customWidth="1"/>
    <col min="13" max="13" width="9.28515625" style="33" customWidth="1"/>
    <col min="14" max="14" width="19.140625" style="33" customWidth="1"/>
    <col min="15" max="15" width="14.140625" style="33" customWidth="1"/>
    <col min="16" max="16" width="9.5703125" style="33" customWidth="1"/>
    <col min="17" max="16384" width="9.140625" style="33"/>
  </cols>
  <sheetData>
    <row r="1" spans="1:18">
      <c r="A1" s="47" t="s">
        <v>74</v>
      </c>
      <c r="B1" s="35">
        <f>Question1_Parameters!B10+5%</f>
        <v>0.11000000000000001</v>
      </c>
      <c r="C1" s="48" t="s">
        <v>24</v>
      </c>
      <c r="P1" s="64" t="s">
        <v>105</v>
      </c>
    </row>
    <row r="2" spans="1:18" ht="75">
      <c r="A2" s="47" t="s">
        <v>75</v>
      </c>
      <c r="B2" s="47" t="s">
        <v>0</v>
      </c>
      <c r="C2" s="47" t="s">
        <v>63</v>
      </c>
      <c r="D2" s="47" t="s">
        <v>9</v>
      </c>
      <c r="E2" s="47" t="s">
        <v>76</v>
      </c>
      <c r="F2" s="49" t="s">
        <v>77</v>
      </c>
      <c r="G2" s="49" t="s">
        <v>1</v>
      </c>
      <c r="H2" s="49" t="s">
        <v>78</v>
      </c>
      <c r="I2" s="49" t="s">
        <v>79</v>
      </c>
      <c r="J2" s="50" t="s">
        <v>80</v>
      </c>
      <c r="K2" s="49" t="s">
        <v>81</v>
      </c>
      <c r="L2" s="49" t="s">
        <v>82</v>
      </c>
      <c r="M2" s="49" t="s">
        <v>83</v>
      </c>
      <c r="N2" s="51" t="s">
        <v>84</v>
      </c>
      <c r="O2" s="49" t="s">
        <v>85</v>
      </c>
      <c r="P2" s="49" t="s">
        <v>86</v>
      </c>
      <c r="Q2" s="49"/>
      <c r="R2" s="49"/>
    </row>
    <row r="3" spans="1:18">
      <c r="A3" s="33">
        <v>1</v>
      </c>
      <c r="B3" s="33">
        <f>Question1_Parameters!B3</f>
        <v>50</v>
      </c>
      <c r="C3" s="34">
        <f>Question1_Parameters!$B$2</f>
        <v>52000</v>
      </c>
      <c r="D3" s="34">
        <f>Question1_Parameters!B6</f>
        <v>3000</v>
      </c>
      <c r="E3" s="34">
        <f>VLOOKUP(A3,Question1_Parameters!$A$18:$B$21,2,1)*C3</f>
        <v>18200</v>
      </c>
      <c r="F3" s="62">
        <f>(C3-D3-E3)*Question1_Parameters!$B$10</f>
        <v>1848.0000000000002</v>
      </c>
      <c r="G3" s="52">
        <f>VLOOKUP(B3,Question1_Parameters!$A$25:$B$55,2,0)</f>
        <v>2.5079999999999998E-3</v>
      </c>
      <c r="H3" s="52">
        <v>1</v>
      </c>
      <c r="I3" s="52">
        <f t="shared" ref="I3:I17" si="0">H3*(1-G3)</f>
        <v>0.99749200000000005</v>
      </c>
      <c r="J3" s="53">
        <f>G3*Question1_Parameters!$B$1</f>
        <v>12539.999999999998</v>
      </c>
      <c r="K3" s="62">
        <f>J3*(1+Question1_Parameters!$B$10)^0.5</f>
        <v>12910.720196797696</v>
      </c>
      <c r="L3" s="34">
        <f t="shared" ref="L3:L17" si="1">+C3-D3-E3+F3-K3</f>
        <v>19737.279803202306</v>
      </c>
      <c r="M3" s="34">
        <f>MIN(80%*(A3),120%*(Question1_Parameters!$B$4-A3))*C3*I3</f>
        <v>41495.667200000004</v>
      </c>
      <c r="N3" s="34">
        <f>M3</f>
        <v>41495.667200000004</v>
      </c>
      <c r="O3" s="34">
        <f t="shared" ref="O3:O17" si="2">L3*H3-(N3)</f>
        <v>-21758.387396797698</v>
      </c>
      <c r="P3" s="52">
        <f t="shared" ref="P3:P17" si="3">(1+$B$1)^(-A3)</f>
        <v>0.9009009009009008</v>
      </c>
    </row>
    <row r="4" spans="1:18">
      <c r="A4" s="33">
        <f t="shared" ref="A4:A17" si="4">+A3+1</f>
        <v>2</v>
      </c>
      <c r="B4" s="33">
        <f t="shared" ref="B4:B17" si="5">+B3+A4-A3</f>
        <v>51</v>
      </c>
      <c r="C4" s="34">
        <f>Question1_Parameters!$B$2</f>
        <v>52000</v>
      </c>
      <c r="D4" s="34">
        <f>Question1_Parameters!B7</f>
        <v>500</v>
      </c>
      <c r="E4" s="34">
        <f>VLOOKUP(A4,Question1_Parameters!$A$18:$B$21,2,1)*C4</f>
        <v>2600</v>
      </c>
      <c r="F4" s="62">
        <f>(C4-D4-E4)*Question1_Parameters!$B$10</f>
        <v>2934.0000000000005</v>
      </c>
      <c r="G4" s="52">
        <f>VLOOKUP(B4,Question1_Parameters!$A$25:$B$55,2,0)</f>
        <v>2.8089999999999999E-3</v>
      </c>
      <c r="H4" s="52">
        <f t="shared" ref="H4:H17" si="6">I3</f>
        <v>0.99749200000000005</v>
      </c>
      <c r="I4" s="52">
        <f t="shared" si="0"/>
        <v>0.99469004497200009</v>
      </c>
      <c r="J4" s="53">
        <f>G4*Question1_Parameters!$B$1</f>
        <v>14045</v>
      </c>
      <c r="K4" s="62">
        <f>J4*(1+Question1_Parameters!$B$10)^0.5</f>
        <v>14460.212533016242</v>
      </c>
      <c r="L4" s="34">
        <f t="shared" si="1"/>
        <v>37373.787466983762</v>
      </c>
      <c r="M4" s="34">
        <f>MIN(80%*(A4),120%*(Question1_Parameters!$B$4-A4))*C4*I4</f>
        <v>82758.211741670413</v>
      </c>
      <c r="N4" s="63">
        <f>M4-M3*(1+Question1_Parameters!$B$10)</f>
        <v>38772.804509670408</v>
      </c>
      <c r="O4" s="34">
        <f t="shared" si="2"/>
        <v>-1492.7505016538416</v>
      </c>
      <c r="P4" s="52">
        <f t="shared" si="3"/>
        <v>0.8116224332440547</v>
      </c>
    </row>
    <row r="5" spans="1:18">
      <c r="A5" s="33">
        <f t="shared" si="4"/>
        <v>3</v>
      </c>
      <c r="B5" s="33">
        <f t="shared" si="5"/>
        <v>52</v>
      </c>
      <c r="C5" s="34">
        <f>Question1_Parameters!$B$2</f>
        <v>52000</v>
      </c>
      <c r="D5" s="34">
        <f t="shared" ref="D5:D17" si="7">D4</f>
        <v>500</v>
      </c>
      <c r="E5" s="34">
        <f>VLOOKUP(A5,Question1_Parameters!$A$18:$B$21,2,1)*C5</f>
        <v>2600</v>
      </c>
      <c r="F5" s="62">
        <f>(C5-D5-E5)*Question1_Parameters!$B$10</f>
        <v>2934.0000000000005</v>
      </c>
      <c r="G5" s="52">
        <f>VLOOKUP(B5,Question1_Parameters!$A$25:$B$55,2,0)</f>
        <v>3.1519999999999999E-3</v>
      </c>
      <c r="H5" s="52">
        <f t="shared" si="6"/>
        <v>0.99469004497200009</v>
      </c>
      <c r="I5" s="52">
        <f t="shared" si="0"/>
        <v>0.99155478195024827</v>
      </c>
      <c r="J5" s="53">
        <f>G5*Question1_Parameters!$B$1</f>
        <v>15760</v>
      </c>
      <c r="K5" s="62">
        <f>J5*(1+Question1_Parameters!$B$10)^0.5</f>
        <v>16225.913102195513</v>
      </c>
      <c r="L5" s="34">
        <f t="shared" si="1"/>
        <v>35608.086897804489</v>
      </c>
      <c r="M5" s="34">
        <f>MIN(80%*(A5),120%*(Question1_Parameters!$B$4-A5))*C5*I5</f>
        <v>123746.036787391</v>
      </c>
      <c r="N5" s="63">
        <f>M5-M4*(1+Question1_Parameters!$B$10)</f>
        <v>36022.332341220361</v>
      </c>
      <c r="O5" s="34">
        <f t="shared" si="2"/>
        <v>-603.32278347632382</v>
      </c>
      <c r="P5" s="52">
        <f t="shared" si="3"/>
        <v>0.73119138130095018</v>
      </c>
    </row>
    <row r="6" spans="1:18">
      <c r="A6" s="33">
        <f t="shared" si="4"/>
        <v>4</v>
      </c>
      <c r="B6" s="33">
        <f t="shared" si="5"/>
        <v>53</v>
      </c>
      <c r="C6" s="34">
        <f>Question1_Parameters!$B$2</f>
        <v>52000</v>
      </c>
      <c r="D6" s="34">
        <f t="shared" si="7"/>
        <v>500</v>
      </c>
      <c r="E6" s="34">
        <f>VLOOKUP(A6,Question1_Parameters!$A$18:$B$21,2,1)*C6</f>
        <v>1560</v>
      </c>
      <c r="F6" s="62">
        <f>(C6-D6-E6)*Question1_Parameters!$B$10</f>
        <v>2996.4</v>
      </c>
      <c r="G6" s="52">
        <f>VLOOKUP(B6,Question1_Parameters!$A$25:$B$55,2,0)</f>
        <v>3.539E-3</v>
      </c>
      <c r="H6" s="52">
        <f t="shared" si="6"/>
        <v>0.99155478195024827</v>
      </c>
      <c r="I6" s="52">
        <f t="shared" si="0"/>
        <v>0.98804566957692641</v>
      </c>
      <c r="J6" s="53">
        <f>G6*Question1_Parameters!$B$1</f>
        <v>17695</v>
      </c>
      <c r="K6" s="62">
        <f>J6*(1+Question1_Parameters!$B$10)^0.5</f>
        <v>18218.117534476496</v>
      </c>
      <c r="L6" s="34">
        <f t="shared" si="1"/>
        <v>34718.282465523502</v>
      </c>
      <c r="M6" s="34">
        <f>MIN(80%*(A6),120%*(Question1_Parameters!$B$4-A6))*C6*I6</f>
        <v>164410.79941760056</v>
      </c>
      <c r="N6" s="63">
        <f>M6-M5*(1+Question1_Parameters!$B$10)</f>
        <v>33240.000422966084</v>
      </c>
      <c r="O6" s="34">
        <f t="shared" si="2"/>
        <v>1185.0785768232017</v>
      </c>
      <c r="P6" s="52">
        <f t="shared" si="3"/>
        <v>0.65873097414500015</v>
      </c>
    </row>
    <row r="7" spans="1:18">
      <c r="A7" s="33">
        <f t="shared" si="4"/>
        <v>5</v>
      </c>
      <c r="B7" s="33">
        <f t="shared" si="5"/>
        <v>54</v>
      </c>
      <c r="C7" s="34">
        <f>Question1_Parameters!$B$2</f>
        <v>52000</v>
      </c>
      <c r="D7" s="34">
        <f t="shared" si="7"/>
        <v>500</v>
      </c>
      <c r="E7" s="34">
        <f>VLOOKUP(A7,Question1_Parameters!$A$18:$B$21,2,1)*C7</f>
        <v>1560</v>
      </c>
      <c r="F7" s="62">
        <f>(C7-D7-E7)*Question1_Parameters!$B$10</f>
        <v>2996.4</v>
      </c>
      <c r="G7" s="52">
        <f>VLOOKUP(B7,Question1_Parameters!$A$25:$B$55,2,0)</f>
        <v>3.9760000000000004E-3</v>
      </c>
      <c r="H7" s="52">
        <f t="shared" si="6"/>
        <v>0.98804566957692641</v>
      </c>
      <c r="I7" s="52">
        <f t="shared" si="0"/>
        <v>0.98411719999468861</v>
      </c>
      <c r="J7" s="53">
        <f>G7*Question1_Parameters!$B$1</f>
        <v>19880.000000000004</v>
      </c>
      <c r="K7" s="62">
        <f>J7*(1+Question1_Parameters!$B$10)^0.5</f>
        <v>20467.712720282161</v>
      </c>
      <c r="L7" s="34">
        <f t="shared" si="1"/>
        <v>32468.68727971784</v>
      </c>
      <c r="M7" s="34">
        <f>MIN(80%*(A7),120%*(Question1_Parameters!$B$4-A7))*C7*I7</f>
        <v>204696.37759889523</v>
      </c>
      <c r="N7" s="63">
        <f>M7-M6*(1+Question1_Parameters!$B$10)</f>
        <v>30420.93021623863</v>
      </c>
      <c r="O7" s="34">
        <f t="shared" si="2"/>
        <v>1659.6156473340161</v>
      </c>
      <c r="P7" s="52">
        <f t="shared" si="3"/>
        <v>0.5934513280585586</v>
      </c>
    </row>
    <row r="8" spans="1:18">
      <c r="A8" s="33">
        <f t="shared" si="4"/>
        <v>6</v>
      </c>
      <c r="B8" s="33">
        <f t="shared" si="5"/>
        <v>55</v>
      </c>
      <c r="C8" s="34">
        <f>Question1_Parameters!$B$2</f>
        <v>52000</v>
      </c>
      <c r="D8" s="34">
        <f t="shared" si="7"/>
        <v>500</v>
      </c>
      <c r="E8" s="34">
        <f>VLOOKUP(A8,Question1_Parameters!$A$18:$B$21,2,1)*C8</f>
        <v>1560</v>
      </c>
      <c r="F8" s="62">
        <f>(C8-D8-E8)*Question1_Parameters!$B$10</f>
        <v>2996.4</v>
      </c>
      <c r="G8" s="52">
        <f>VLOOKUP(B8,Question1_Parameters!$A$25:$B$55,2,0)</f>
        <v>4.4689999999999999E-3</v>
      </c>
      <c r="H8" s="52">
        <f t="shared" si="6"/>
        <v>0.98411719999468861</v>
      </c>
      <c r="I8" s="52">
        <f t="shared" si="0"/>
        <v>0.97971918022791238</v>
      </c>
      <c r="J8" s="53">
        <f>G8*Question1_Parameters!$B$1</f>
        <v>22345</v>
      </c>
      <c r="K8" s="62">
        <f>J8*(1+Question1_Parameters!$B$10)^0.5</f>
        <v>23005.585550035452</v>
      </c>
      <c r="L8" s="34">
        <f t="shared" si="1"/>
        <v>29930.81444996455</v>
      </c>
      <c r="M8" s="34">
        <f>MIN(80%*(A8),120%*(Question1_Parameters!$B$4-A8))*C8*I8</f>
        <v>244537.90738488696</v>
      </c>
      <c r="N8" s="63">
        <f>M8-M7*(1+Question1_Parameters!$B$10)</f>
        <v>27559.747130058007</v>
      </c>
      <c r="O8" s="34">
        <f t="shared" si="2"/>
        <v>1895.6821800016696</v>
      </c>
      <c r="P8" s="52">
        <f t="shared" si="3"/>
        <v>0.53464083608879154</v>
      </c>
    </row>
    <row r="9" spans="1:18">
      <c r="A9" s="33">
        <f t="shared" si="4"/>
        <v>7</v>
      </c>
      <c r="B9" s="33">
        <f t="shared" si="5"/>
        <v>56</v>
      </c>
      <c r="C9" s="34">
        <f>Question1_Parameters!$B$2</f>
        <v>52000</v>
      </c>
      <c r="D9" s="34">
        <f t="shared" si="7"/>
        <v>500</v>
      </c>
      <c r="E9" s="34">
        <f>VLOOKUP(A9,Question1_Parameters!$A$18:$B$21,2,1)*C9</f>
        <v>1560</v>
      </c>
      <c r="F9" s="62">
        <f>(C9-D9-E9)*Question1_Parameters!$B$10</f>
        <v>2996.4</v>
      </c>
      <c r="G9" s="52">
        <f>VLOOKUP(B9,Question1_Parameters!$A$25:$B$55,2,0)</f>
        <v>5.025E-3</v>
      </c>
      <c r="H9" s="52">
        <f t="shared" si="6"/>
        <v>0.97971918022791238</v>
      </c>
      <c r="I9" s="52">
        <f t="shared" si="0"/>
        <v>0.97479609134726719</v>
      </c>
      <c r="J9" s="53">
        <f>G9*Question1_Parameters!$B$1</f>
        <v>25125</v>
      </c>
      <c r="K9" s="62">
        <f>J9*(1+Question1_Parameters!$B$10)^0.5</f>
        <v>25867.770729229836</v>
      </c>
      <c r="L9" s="34">
        <f t="shared" si="1"/>
        <v>27068.629270770165</v>
      </c>
      <c r="M9" s="34">
        <f>MIN(80%*(A9),120%*(Question1_Parameters!$B$4-A9))*C9*I9</f>
        <v>283860.62180032418</v>
      </c>
      <c r="N9" s="63">
        <f>M9-M8*(1+Question1_Parameters!$B$10)</f>
        <v>24650.439972344</v>
      </c>
      <c r="O9" s="34">
        <f t="shared" si="2"/>
        <v>1869.2153067082181</v>
      </c>
      <c r="P9" s="52">
        <f t="shared" si="3"/>
        <v>0.48165841089080319</v>
      </c>
    </row>
    <row r="10" spans="1:18">
      <c r="A10" s="33">
        <f t="shared" si="4"/>
        <v>8</v>
      </c>
      <c r="B10" s="33">
        <f t="shared" si="5"/>
        <v>57</v>
      </c>
      <c r="C10" s="34">
        <f>Question1_Parameters!$B$2</f>
        <v>52000</v>
      </c>
      <c r="D10" s="34">
        <f t="shared" si="7"/>
        <v>500</v>
      </c>
      <c r="E10" s="34">
        <f>VLOOKUP(A10,Question1_Parameters!$A$18:$B$21,2,1)*C10</f>
        <v>1560</v>
      </c>
      <c r="F10" s="62">
        <f>(C10-D10-E10)*Question1_Parameters!$B$10</f>
        <v>2996.4</v>
      </c>
      <c r="G10" s="52">
        <f>VLOOKUP(B10,Question1_Parameters!$A$25:$B$55,2,0)</f>
        <v>5.6499999999999996E-3</v>
      </c>
      <c r="H10" s="52">
        <f t="shared" si="6"/>
        <v>0.97479609134726719</v>
      </c>
      <c r="I10" s="52">
        <f t="shared" si="0"/>
        <v>0.96928849343115508</v>
      </c>
      <c r="J10" s="53">
        <f>G10*Question1_Parameters!$B$1</f>
        <v>28250</v>
      </c>
      <c r="K10" s="62">
        <f>J10*(1+Question1_Parameters!$B$10)^0.5</f>
        <v>29085.155148288275</v>
      </c>
      <c r="L10" s="34">
        <f t="shared" si="1"/>
        <v>23851.244851711726</v>
      </c>
      <c r="M10" s="34">
        <f>MIN(80%*(A10),120%*(Question1_Parameters!$B$4-A10))*C10*I10</f>
        <v>322579.2106138884</v>
      </c>
      <c r="N10" s="63">
        <f>M10-M9*(1+Question1_Parameters!$B$10)</f>
        <v>21686.95150554477</v>
      </c>
      <c r="O10" s="34">
        <f t="shared" si="2"/>
        <v>1563.1487496704503</v>
      </c>
      <c r="P10" s="52">
        <f t="shared" si="3"/>
        <v>0.43392649629802077</v>
      </c>
    </row>
    <row r="11" spans="1:18">
      <c r="A11" s="33">
        <f t="shared" si="4"/>
        <v>9</v>
      </c>
      <c r="B11" s="33">
        <f t="shared" si="5"/>
        <v>58</v>
      </c>
      <c r="C11" s="34">
        <f>Question1_Parameters!$B$2</f>
        <v>52000</v>
      </c>
      <c r="D11" s="34">
        <f t="shared" si="7"/>
        <v>500</v>
      </c>
      <c r="E11" s="34">
        <f>VLOOKUP(A11,Question1_Parameters!$A$18:$B$21,2,1)*C11</f>
        <v>1560</v>
      </c>
      <c r="F11" s="62">
        <f>(C11-D11-E11)*Question1_Parameters!$B$10</f>
        <v>2996.4</v>
      </c>
      <c r="G11" s="52">
        <f>VLOOKUP(B11,Question1_Parameters!$A$25:$B$55,2,0)</f>
        <v>6.352E-3</v>
      </c>
      <c r="H11" s="52">
        <f t="shared" si="6"/>
        <v>0.96928849343115508</v>
      </c>
      <c r="I11" s="52">
        <f t="shared" si="0"/>
        <v>0.96313157292088036</v>
      </c>
      <c r="J11" s="53">
        <f>G11*Question1_Parameters!$B$1</f>
        <v>31760</v>
      </c>
      <c r="K11" s="62">
        <f>J11*(1+Question1_Parameters!$B$10)^0.5</f>
        <v>32698.921327774711</v>
      </c>
      <c r="L11" s="34">
        <f t="shared" si="1"/>
        <v>20237.47867222529</v>
      </c>
      <c r="M11" s="34">
        <f>MIN(80%*(A11),120%*(Question1_Parameters!$B$4-A11))*C11*I11</f>
        <v>360596.46090157755</v>
      </c>
      <c r="N11" s="63">
        <f>M11-M10*(1+Question1_Parameters!$B$10)</f>
        <v>18662.497650855803</v>
      </c>
      <c r="O11" s="34">
        <f t="shared" si="2"/>
        <v>953.45756219058239</v>
      </c>
      <c r="P11" s="52">
        <f t="shared" si="3"/>
        <v>0.39092477143965831</v>
      </c>
    </row>
    <row r="12" spans="1:18">
      <c r="A12" s="33">
        <f t="shared" si="4"/>
        <v>10</v>
      </c>
      <c r="B12" s="33">
        <f t="shared" si="5"/>
        <v>59</v>
      </c>
      <c r="C12" s="34">
        <f>Question1_Parameters!$B$2</f>
        <v>52000</v>
      </c>
      <c r="D12" s="34">
        <f t="shared" si="7"/>
        <v>500</v>
      </c>
      <c r="E12" s="34">
        <f>VLOOKUP(A12,Question1_Parameters!$A$18:$B$21,2,1)*C12</f>
        <v>1560</v>
      </c>
      <c r="F12" s="62">
        <f>(C12-D12-E12)*Question1_Parameters!$B$10</f>
        <v>2996.4</v>
      </c>
      <c r="G12" s="52">
        <f>VLOOKUP(B12,Question1_Parameters!$A$25:$B$55,2,0)</f>
        <v>7.1399999999999996E-3</v>
      </c>
      <c r="H12" s="52">
        <f t="shared" si="6"/>
        <v>0.96313157292088036</v>
      </c>
      <c r="I12" s="52">
        <f t="shared" si="0"/>
        <v>0.95625481349022523</v>
      </c>
      <c r="J12" s="53">
        <f>G12*Question1_Parameters!$B$1</f>
        <v>35700</v>
      </c>
      <c r="K12" s="62">
        <f>J12*(1+Question1_Parameters!$B$10)^0.5</f>
        <v>36755.399603323589</v>
      </c>
      <c r="L12" s="34">
        <f t="shared" si="1"/>
        <v>16181.000396676412</v>
      </c>
      <c r="M12" s="34">
        <f>MIN(80%*(A12),120%*(Question1_Parameters!$B$4-A12))*C12*I12</f>
        <v>298351.50180895027</v>
      </c>
      <c r="N12" s="63">
        <f>M12-M11*(1+Question1_Parameters!$B$10)</f>
        <v>-83880.746746721969</v>
      </c>
      <c r="O12" s="34">
        <f t="shared" si="2"/>
        <v>99465.179110206314</v>
      </c>
      <c r="P12" s="52">
        <f t="shared" si="3"/>
        <v>0.3521844787744669</v>
      </c>
    </row>
    <row r="13" spans="1:18">
      <c r="A13" s="33">
        <f t="shared" si="4"/>
        <v>11</v>
      </c>
      <c r="B13" s="33">
        <f t="shared" si="5"/>
        <v>60</v>
      </c>
      <c r="C13" s="34">
        <f>Question1_Parameters!$B$2</f>
        <v>52000</v>
      </c>
      <c r="D13" s="34">
        <f t="shared" si="7"/>
        <v>500</v>
      </c>
      <c r="E13" s="34">
        <f>VLOOKUP(A13,Question1_Parameters!$A$18:$B$21,2,1)*C13</f>
        <v>1560</v>
      </c>
      <c r="F13" s="62">
        <f>(C13-D13-E13)*Question1_Parameters!$B$10</f>
        <v>2996.4</v>
      </c>
      <c r="G13" s="52">
        <f>VLOOKUP(B13,Question1_Parameters!$A$25:$B$55,2,0)</f>
        <v>8.0219999999999996E-3</v>
      </c>
      <c r="H13" s="52">
        <f t="shared" si="6"/>
        <v>0.95625481349022523</v>
      </c>
      <c r="I13" s="52">
        <f t="shared" si="0"/>
        <v>0.94858373737640667</v>
      </c>
      <c r="J13" s="53">
        <f>G13*Question1_Parameters!$B$1</f>
        <v>40110</v>
      </c>
      <c r="K13" s="62">
        <f>J13*(1+Question1_Parameters!$B$10)^0.5</f>
        <v>41295.772495498859</v>
      </c>
      <c r="L13" s="34">
        <f t="shared" si="1"/>
        <v>11640.627504501143</v>
      </c>
      <c r="M13" s="34">
        <f>MIN(80%*(A13),120%*(Question1_Parameters!$B$4-A13))*C13*I13</f>
        <v>236766.50084915111</v>
      </c>
      <c r="N13" s="63">
        <f>M13-M12*(1+Question1_Parameters!$B$10)</f>
        <v>-79486.091068336216</v>
      </c>
      <c r="O13" s="34">
        <f t="shared" si="2"/>
        <v>90617.497151562144</v>
      </c>
      <c r="P13" s="52">
        <f t="shared" si="3"/>
        <v>0.31728331421123146</v>
      </c>
    </row>
    <row r="14" spans="1:18">
      <c r="A14" s="33">
        <f t="shared" si="4"/>
        <v>12</v>
      </c>
      <c r="B14" s="33">
        <f t="shared" si="5"/>
        <v>61</v>
      </c>
      <c r="C14" s="34">
        <f>Question1_Parameters!$B$2</f>
        <v>52000</v>
      </c>
      <c r="D14" s="34">
        <f t="shared" si="7"/>
        <v>500</v>
      </c>
      <c r="E14" s="34">
        <f>VLOOKUP(A14,Question1_Parameters!$A$18:$B$21,2,1)*C14</f>
        <v>1560</v>
      </c>
      <c r="F14" s="62">
        <f>(C14-D14-E14)*Question1_Parameters!$B$10</f>
        <v>2996.4</v>
      </c>
      <c r="G14" s="52">
        <f>VLOOKUP(B14,Question1_Parameters!$A$25:$B$55,2,0)</f>
        <v>9.0089999999999996E-3</v>
      </c>
      <c r="H14" s="52">
        <f t="shared" si="6"/>
        <v>0.94858373737640667</v>
      </c>
      <c r="I14" s="52">
        <f t="shared" si="0"/>
        <v>0.94003794648638261</v>
      </c>
      <c r="J14" s="53">
        <f>G14*Question1_Parameters!$B$1</f>
        <v>45045</v>
      </c>
      <c r="K14" s="62">
        <f>J14*(1+Question1_Parameters!$B$10)^0.5</f>
        <v>46376.665970075941</v>
      </c>
      <c r="L14" s="34">
        <f t="shared" si="1"/>
        <v>6559.7340299240605</v>
      </c>
      <c r="M14" s="34">
        <f>MIN(80%*(A14),120%*(Question1_Parameters!$B$4-A14))*C14*I14</f>
        <v>175975.1035822508</v>
      </c>
      <c r="N14" s="63">
        <f>M14-M13*(1+Question1_Parameters!$B$10)</f>
        <v>-74997.387317849381</v>
      </c>
      <c r="O14" s="34">
        <f t="shared" si="2"/>
        <v>81219.844340149939</v>
      </c>
      <c r="P14" s="52">
        <f t="shared" si="3"/>
        <v>0.28584082361372198</v>
      </c>
    </row>
    <row r="15" spans="1:18">
      <c r="A15" s="33">
        <f t="shared" si="4"/>
        <v>13</v>
      </c>
      <c r="B15" s="33">
        <f t="shared" si="5"/>
        <v>62</v>
      </c>
      <c r="C15" s="34">
        <f>Question1_Parameters!$B$2</f>
        <v>52000</v>
      </c>
      <c r="D15" s="34">
        <f t="shared" si="7"/>
        <v>500</v>
      </c>
      <c r="E15" s="34">
        <f>VLOOKUP(A15,Question1_Parameters!$A$18:$B$21,2,1)*C15</f>
        <v>1560</v>
      </c>
      <c r="F15" s="62">
        <f>(C15-D15-E15)*Question1_Parameters!$B$10</f>
        <v>2996.4</v>
      </c>
      <c r="G15" s="52">
        <f>VLOOKUP(B15,Question1_Parameters!$A$25:$B$55,2,0)</f>
        <v>1.0111999999999999E-2</v>
      </c>
      <c r="H15" s="52">
        <f t="shared" si="6"/>
        <v>0.94003794648638261</v>
      </c>
      <c r="I15" s="52">
        <f t="shared" si="0"/>
        <v>0.93053228277151234</v>
      </c>
      <c r="J15" s="53">
        <f>G15*Question1_Parameters!$B$1</f>
        <v>50560</v>
      </c>
      <c r="K15" s="62">
        <f>J15*(1+Question1_Parameters!$B$10)^0.5</f>
        <v>52054.70599283027</v>
      </c>
      <c r="L15" s="34">
        <f t="shared" si="1"/>
        <v>881.69400716973178</v>
      </c>
      <c r="M15" s="34">
        <f>MIN(80%*(A15),120%*(Question1_Parameters!$B$4-A15))*C15*I15</f>
        <v>116130.42888988474</v>
      </c>
      <c r="N15" s="63">
        <f>M15-M14*(1+Question1_Parameters!$B$10)</f>
        <v>-70403.180907301125</v>
      </c>
      <c r="O15" s="34">
        <f t="shared" si="2"/>
        <v>71232.006731230314</v>
      </c>
      <c r="P15" s="52">
        <f t="shared" si="3"/>
        <v>0.25751425550785767</v>
      </c>
    </row>
    <row r="16" spans="1:18">
      <c r="A16" s="33">
        <f t="shared" si="4"/>
        <v>14</v>
      </c>
      <c r="B16" s="33">
        <f t="shared" si="5"/>
        <v>63</v>
      </c>
      <c r="C16" s="34">
        <f>Question1_Parameters!$B$2</f>
        <v>52000</v>
      </c>
      <c r="D16" s="34">
        <f t="shared" si="7"/>
        <v>500</v>
      </c>
      <c r="E16" s="34">
        <f>VLOOKUP(A16,Question1_Parameters!$A$18:$B$21,2,1)*C16</f>
        <v>1560</v>
      </c>
      <c r="F16" s="62">
        <f>(C16-D16-E16)*Question1_Parameters!$B$10</f>
        <v>2996.4</v>
      </c>
      <c r="G16" s="52">
        <f>VLOOKUP(B16,Question1_Parameters!$A$25:$B$55,2,0)</f>
        <v>1.1344E-2</v>
      </c>
      <c r="H16" s="52">
        <f t="shared" si="6"/>
        <v>0.93053228277151234</v>
      </c>
      <c r="I16" s="52">
        <f t="shared" si="0"/>
        <v>0.91997632455575229</v>
      </c>
      <c r="J16" s="53">
        <f>G16*Question1_Parameters!$B$1</f>
        <v>56720</v>
      </c>
      <c r="K16" s="62">
        <f>J16*(1+Question1_Parameters!$B$10)^0.5</f>
        <v>58396.814159678266</v>
      </c>
      <c r="L16" s="34">
        <f t="shared" si="1"/>
        <v>-5460.4141596782647</v>
      </c>
      <c r="M16" s="34">
        <f>MIN(80%*(A16),120%*(Question1_Parameters!$B$4-A16))*C16*I16</f>
        <v>57406.522652278945</v>
      </c>
      <c r="N16" s="63">
        <f>M16-M15*(1+Question1_Parameters!$B$10)</f>
        <v>-65691.731970998895</v>
      </c>
      <c r="O16" s="34">
        <f t="shared" si="2"/>
        <v>60610.640318115591</v>
      </c>
      <c r="P16" s="52">
        <f t="shared" si="3"/>
        <v>0.23199482478185374</v>
      </c>
    </row>
    <row r="17" spans="1:16">
      <c r="A17" s="33">
        <f t="shared" si="4"/>
        <v>15</v>
      </c>
      <c r="B17" s="33">
        <f t="shared" si="5"/>
        <v>64</v>
      </c>
      <c r="C17" s="34">
        <f>Question1_Parameters!$B$2</f>
        <v>52000</v>
      </c>
      <c r="D17" s="34">
        <f t="shared" si="7"/>
        <v>500</v>
      </c>
      <c r="E17" s="34">
        <f>VLOOKUP(A17,Question1_Parameters!$A$18:$B$21,2,1)*C17</f>
        <v>1560</v>
      </c>
      <c r="F17" s="62">
        <f>(C17-D17-E17)*Question1_Parameters!$B$10</f>
        <v>2996.4</v>
      </c>
      <c r="G17" s="52">
        <f>VLOOKUP(B17,Question1_Parameters!$A$25:$B$55,2,0)</f>
        <v>1.2716E-2</v>
      </c>
      <c r="H17" s="52">
        <f t="shared" si="6"/>
        <v>0.91997632455575229</v>
      </c>
      <c r="I17" s="52">
        <f t="shared" si="0"/>
        <v>0.90827790561270139</v>
      </c>
      <c r="J17" s="53">
        <f>G17*Question1_Parameters!$B$1</f>
        <v>63580</v>
      </c>
      <c r="K17" s="62">
        <f>J17*(1+Question1_Parameters!$B$10)^0.5</f>
        <v>65459.616436395343</v>
      </c>
      <c r="L17" s="34">
        <f t="shared" si="1"/>
        <v>-12523.216436395342</v>
      </c>
      <c r="M17" s="34">
        <f>MIN(80%*(A17),120%*(Question1_Parameters!$B$4-A17))*C17*I17</f>
        <v>0</v>
      </c>
      <c r="N17" s="63">
        <f>M17-M16*(1+Question1_Parameters!$B$10)</f>
        <v>-60850.914011415683</v>
      </c>
      <c r="O17" s="34">
        <f t="shared" si="2"/>
        <v>49329.851382644512</v>
      </c>
      <c r="P17" s="52">
        <f t="shared" si="3"/>
        <v>0.2090043466503187</v>
      </c>
    </row>
    <row r="18" spans="1:16">
      <c r="H18" s="52"/>
    </row>
    <row r="19" spans="1:16" ht="60">
      <c r="A19" s="54" t="s">
        <v>87</v>
      </c>
      <c r="C19" s="34">
        <f>SUMPRODUCT($C$3:$C$17,$H$3:$H$17,$P$3:$P$17)*(1+$B$1)</f>
        <v>406420.83094159327</v>
      </c>
      <c r="D19" s="48"/>
      <c r="H19" s="55"/>
    </row>
    <row r="20" spans="1:16" ht="60">
      <c r="A20" s="54" t="s">
        <v>88</v>
      </c>
      <c r="C20" s="34">
        <f>SUMPRODUCT($O$3:$O$17,$P$3:$P$17)</f>
        <v>113187.78297693773</v>
      </c>
      <c r="D20" s="48"/>
    </row>
    <row r="21" spans="1:16">
      <c r="D21" s="48"/>
    </row>
    <row r="22" spans="1:16">
      <c r="A22" s="33" t="s">
        <v>89</v>
      </c>
      <c r="C22" s="56">
        <f>C20/C19</f>
        <v>0.27849897042606053</v>
      </c>
      <c r="D22" s="48" t="s">
        <v>24</v>
      </c>
    </row>
  </sheetData>
  <pageMargins left="0.75" right="0.75" top="1" bottom="1" header="0.51180555555555496" footer="0.51180555555555496"/>
  <pageSetup paperSize="9" firstPageNumber="0" orientation="portrait" useFirstPageNumber="1" horizontalDpi="300" verticalDpi="30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7"/>
  <sheetViews>
    <sheetView workbookViewId="0">
      <selection activeCell="J16" sqref="J16"/>
    </sheetView>
  </sheetViews>
  <sheetFormatPr defaultColWidth="9.140625" defaultRowHeight="15"/>
  <cols>
    <col min="1" max="1" width="9.140625" style="59"/>
    <col min="2" max="2" width="12.42578125" style="33" customWidth="1"/>
    <col min="3" max="16384" width="9.140625" style="33"/>
  </cols>
  <sheetData>
    <row r="1" spans="1:11">
      <c r="A1" s="59" t="s">
        <v>104</v>
      </c>
      <c r="B1" s="57"/>
    </row>
    <row r="2" spans="1:11" ht="14.45" customHeight="1">
      <c r="A2" s="69" t="s">
        <v>106</v>
      </c>
      <c r="B2" s="67"/>
      <c r="C2" s="67"/>
      <c r="D2" s="67"/>
      <c r="E2" s="67"/>
      <c r="F2" s="67"/>
      <c r="G2" s="67"/>
      <c r="H2" s="67"/>
      <c r="I2" s="67"/>
      <c r="J2" s="67"/>
    </row>
    <row r="3" spans="1:11">
      <c r="A3" s="67"/>
      <c r="B3" s="67"/>
      <c r="C3" s="67"/>
      <c r="D3" s="67"/>
      <c r="E3" s="67"/>
      <c r="F3" s="67"/>
      <c r="G3" s="67"/>
      <c r="H3" s="67"/>
      <c r="I3" s="67"/>
      <c r="J3" s="67"/>
      <c r="K3" s="48" t="s">
        <v>103</v>
      </c>
    </row>
    <row r="4" spans="1:11">
      <c r="A4" s="67"/>
      <c r="B4" s="67"/>
      <c r="C4" s="67"/>
      <c r="D4" s="67"/>
      <c r="E4" s="67"/>
      <c r="F4" s="67"/>
      <c r="G4" s="67"/>
      <c r="H4" s="67"/>
      <c r="I4" s="67"/>
      <c r="J4" s="67"/>
    </row>
    <row r="5" spans="1:11">
      <c r="A5" s="67"/>
      <c r="B5" s="67"/>
      <c r="C5" s="67"/>
      <c r="D5" s="67"/>
      <c r="E5" s="67"/>
      <c r="F5" s="67"/>
      <c r="G5" s="67"/>
      <c r="H5" s="67"/>
      <c r="I5" s="67"/>
      <c r="J5" s="67"/>
    </row>
    <row r="6" spans="1:11">
      <c r="B6" s="58"/>
    </row>
    <row r="7" spans="1:11" ht="14.45" customHeight="1">
      <c r="A7" s="69" t="s">
        <v>107</v>
      </c>
      <c r="B7" s="67"/>
      <c r="C7" s="67"/>
      <c r="D7" s="67"/>
      <c r="E7" s="67"/>
      <c r="F7" s="67"/>
      <c r="G7" s="67"/>
      <c r="H7" s="67"/>
      <c r="I7" s="67"/>
      <c r="J7" s="67"/>
    </row>
    <row r="8" spans="1:11">
      <c r="A8" s="67"/>
      <c r="B8" s="67"/>
      <c r="C8" s="67"/>
      <c r="D8" s="67"/>
      <c r="E8" s="67"/>
      <c r="F8" s="67"/>
      <c r="G8" s="67"/>
      <c r="H8" s="67"/>
      <c r="I8" s="67"/>
      <c r="J8" s="67"/>
      <c r="K8" s="48" t="s">
        <v>103</v>
      </c>
    </row>
    <row r="9" spans="1:11">
      <c r="A9" s="67"/>
      <c r="B9" s="67"/>
      <c r="C9" s="67"/>
      <c r="D9" s="67"/>
      <c r="E9" s="67"/>
      <c r="F9" s="67"/>
      <c r="G9" s="67"/>
      <c r="H9" s="67"/>
      <c r="I9" s="67"/>
      <c r="J9" s="67"/>
    </row>
    <row r="10" spans="1:11">
      <c r="A10" s="67"/>
      <c r="B10" s="67"/>
      <c r="C10" s="67"/>
      <c r="D10" s="67"/>
      <c r="E10" s="67"/>
      <c r="F10" s="67"/>
      <c r="G10" s="67"/>
      <c r="H10" s="67"/>
      <c r="I10" s="67"/>
      <c r="J10" s="67"/>
    </row>
    <row r="11" spans="1:11">
      <c r="B11" s="58"/>
    </row>
    <row r="12" spans="1:11">
      <c r="B12" s="58"/>
    </row>
    <row r="13" spans="1:11">
      <c r="B13" s="58"/>
    </row>
    <row r="14" spans="1:11">
      <c r="B14" s="58"/>
    </row>
    <row r="15" spans="1:11">
      <c r="B15" s="58"/>
    </row>
    <row r="16" spans="1:11">
      <c r="B16" s="58"/>
    </row>
    <row r="17" spans="2:2">
      <c r="B17" s="58"/>
    </row>
  </sheetData>
  <mergeCells count="2">
    <mergeCell ref="A2:J5"/>
    <mergeCell ref="A7:J10"/>
  </mergeCells>
  <pageMargins left="0.75" right="0.75" top="1" bottom="1" header="0.51180555555555496" footer="0.51180555555555496"/>
  <pageSetup paperSize="9" firstPageNumber="0" orientation="portrait" useFirstPageNumber="1"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Question1_Parameters</vt:lpstr>
      <vt:lpstr>Q1 (i)</vt:lpstr>
      <vt:lpstr>Q1 (ii)</vt:lpstr>
      <vt:lpstr>Q1 (iii)</vt:lpstr>
      <vt:lpstr>Q1 (iv)</vt:lpstr>
      <vt:lpstr>Q1 (v)</vt:lpstr>
      <vt:lpstr>Q1_vi_a</vt:lpstr>
      <vt:lpstr>Q1_vi_b</vt:lpstr>
      <vt:lpstr>Q1_vi_c</vt:lpstr>
      <vt:lpstr>Ques_2_Data</vt:lpstr>
      <vt:lpstr>Q2(i)</vt:lpstr>
      <vt:lpstr>Q2(ii)</vt:lpstr>
      <vt:lpstr>Ques_3_Data</vt:lpstr>
      <vt:lpstr>Q3 (i)</vt:lpstr>
      <vt:lpstr>Q3 (ii)</vt:lpstr>
      <vt:lpstr>Q3 (iii)</vt:lpstr>
      <vt:lpstr>Q3 (iv)</vt:lpstr>
      <vt:lpstr>Q3 (v)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2021-02-03T10:09:52Z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Abhishek.Chadha@towerswatson.com</vt:lpwstr>
  </property>
  <property fmtid="{D5CDD505-2E9C-101B-9397-08002B2CF9AE}" pid="5" name="MSIP_Label_9c700311-1b20-487f-9129-30717d50ca8e_SetDate">
    <vt:lpwstr>2020-09-04T12:04:33.8458752Z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Extended_MSFT_Method">
    <vt:lpwstr>Automatic</vt:lpwstr>
  </property>
  <property fmtid="{D5CDD505-2E9C-101B-9397-08002B2CF9AE}" pid="9" name="MSIP_Label_d347b247-e90e-43a3-9d7b-004f14ae6873_Enabled">
    <vt:lpwstr>True</vt:lpwstr>
  </property>
  <property fmtid="{D5CDD505-2E9C-101B-9397-08002B2CF9AE}" pid="10" name="MSIP_Label_d347b247-e90e-43a3-9d7b-004f14ae6873_SiteId">
    <vt:lpwstr>76e3921f-489b-4b7e-9547-9ea297add9b5</vt:lpwstr>
  </property>
  <property fmtid="{D5CDD505-2E9C-101B-9397-08002B2CF9AE}" pid="11" name="MSIP_Label_d347b247-e90e-43a3-9d7b-004f14ae6873_Owner">
    <vt:lpwstr>Abhishek.Chadha@towerswatson.com</vt:lpwstr>
  </property>
  <property fmtid="{D5CDD505-2E9C-101B-9397-08002B2CF9AE}" pid="12" name="MSIP_Label_d347b247-e90e-43a3-9d7b-004f14ae6873_SetDate">
    <vt:lpwstr>2020-09-04T12:04:33.8458752Z</vt:lpwstr>
  </property>
  <property fmtid="{D5CDD505-2E9C-101B-9397-08002B2CF9AE}" pid="13" name="MSIP_Label_d347b247-e90e-43a3-9d7b-004f14ae6873_Name">
    <vt:lpwstr>Anyone (No Protection)</vt:lpwstr>
  </property>
  <property fmtid="{D5CDD505-2E9C-101B-9397-08002B2CF9AE}" pid="14" name="MSIP_Label_d347b247-e90e-43a3-9d7b-004f14ae6873_Application">
    <vt:lpwstr>Microsoft Azure Information Protection</vt:lpwstr>
  </property>
  <property fmtid="{D5CDD505-2E9C-101B-9397-08002B2CF9AE}" pid="15" name="MSIP_Label_d347b247-e90e-43a3-9d7b-004f14ae6873_Parent">
    <vt:lpwstr>9c700311-1b20-487f-9129-30717d50ca8e</vt:lpwstr>
  </property>
  <property fmtid="{D5CDD505-2E9C-101B-9397-08002B2CF9AE}" pid="16" name="MSIP_Label_d347b247-e90e-43a3-9d7b-004f14ae6873_Extended_MSFT_Method">
    <vt:lpwstr>Automatic</vt:lpwstr>
  </property>
  <property fmtid="{D5CDD505-2E9C-101B-9397-08002B2CF9AE}" pid="17" name="Sensitivity">
    <vt:lpwstr>Confidential Anyone (No Protection)</vt:lpwstr>
  </property>
</Properties>
</file>