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input_Q1" sheetId="1" r:id="rId1"/>
    <sheet name="Q1(i)" sheetId="6" r:id="rId2"/>
    <sheet name="Q1(ii)" sheetId="4" r:id="rId3"/>
    <sheet name="Q1(iii)" sheetId="7" r:id="rId4"/>
    <sheet name="Q1(iv)" sheetId="8" r:id="rId5"/>
    <sheet name="input Q2" sheetId="9" r:id="rId6"/>
    <sheet name="Q2(i)" sheetId="10" r:id="rId7"/>
    <sheet name="Q2 (ii) &amp; (iii)" sheetId="11" r:id="rId8"/>
    <sheet name="Q2(iv)" sheetId="12" r:id="rId9"/>
    <sheet name="Q3 i a)b)c)" sheetId="13" r:id="rId10"/>
    <sheet name="Q3(ii)" sheetId="14" r:id="rId11"/>
    <sheet name="Q3(iii)" sheetId="15" r:id="rId12"/>
    <sheet name="Q3(iv)" sheetId="16" r:id="rId13"/>
    <sheet name="Q3(v)" sheetId="17" r:id="rId14"/>
    <sheet name="Q3(vi)" sheetId="18" r:id="rId15"/>
  </sheets>
  <definedNames>
    <definedName name="alpha">input_Q1!#REF!</definedName>
    <definedName name="mu">input_Q1!#REF!</definedName>
    <definedName name="sigma">input_Q1!#REF!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8" l="1"/>
  <c r="C7" i="18" s="1"/>
  <c r="D5" i="18"/>
  <c r="E9" i="17"/>
  <c r="E2" i="18" s="1"/>
  <c r="C11" i="16"/>
  <c r="C14" i="16" s="1"/>
  <c r="D11" i="15"/>
  <c r="G20" i="15" s="1"/>
  <c r="D25" i="14"/>
  <c r="B7" i="14"/>
  <c r="H27" i="13"/>
  <c r="H48" i="13" s="1"/>
  <c r="H26" i="13"/>
  <c r="H47" i="13" s="1"/>
  <c r="H25" i="13"/>
  <c r="H46" i="13" s="1"/>
  <c r="I7" i="13"/>
  <c r="H12" i="13" s="1"/>
  <c r="E6" i="18" l="1"/>
  <c r="E7" i="18"/>
  <c r="E8" i="18"/>
  <c r="E5" i="18"/>
  <c r="F5" i="18"/>
  <c r="D7" i="18"/>
  <c r="C8" i="18"/>
  <c r="D6" i="18"/>
  <c r="F6" i="18" s="1"/>
  <c r="E20" i="14"/>
  <c r="F20" i="14" s="1"/>
  <c r="G20" i="14" s="1"/>
  <c r="E19" i="14"/>
  <c r="F19" i="14" s="1"/>
  <c r="G19" i="14" s="1"/>
  <c r="E17" i="14"/>
  <c r="F17" i="14" s="1"/>
  <c r="G17" i="14" s="1"/>
  <c r="E15" i="14"/>
  <c r="F15" i="14" s="1"/>
  <c r="G15" i="14" s="1"/>
  <c r="E21" i="14"/>
  <c r="F21" i="14" s="1"/>
  <c r="G21" i="14" s="1"/>
  <c r="E14" i="14"/>
  <c r="F14" i="14" s="1"/>
  <c r="G14" i="14" s="1"/>
  <c r="E18" i="14"/>
  <c r="F18" i="14" s="1"/>
  <c r="G18" i="14" s="1"/>
  <c r="E16" i="14"/>
  <c r="F16" i="14" s="1"/>
  <c r="G16" i="14" s="1"/>
  <c r="H10" i="13"/>
  <c r="H32" i="13" s="1"/>
  <c r="H11" i="13"/>
  <c r="H33" i="13" s="1"/>
  <c r="H34" i="13" l="1"/>
  <c r="H36" i="13" s="1"/>
  <c r="H39" i="13" s="1"/>
  <c r="F7" i="18"/>
  <c r="C9" i="18"/>
  <c r="E9" i="18" s="1"/>
  <c r="D8" i="18"/>
  <c r="F8" i="18" s="1"/>
  <c r="H50" i="13"/>
  <c r="D9" i="18" l="1"/>
  <c r="F9" i="18" s="1"/>
  <c r="C10" i="18"/>
  <c r="E10" i="18" s="1"/>
  <c r="C11" i="18" l="1"/>
  <c r="E11" i="18" s="1"/>
  <c r="D10" i="18"/>
  <c r="F10" i="18" s="1"/>
  <c r="D11" i="18" l="1"/>
  <c r="C12" i="18"/>
  <c r="E12" i="18" s="1"/>
  <c r="C13" i="18" l="1"/>
  <c r="E13" i="18" s="1"/>
  <c r="D12" i="18"/>
  <c r="F12" i="18" s="1"/>
  <c r="F11" i="18"/>
  <c r="D13" i="18" l="1"/>
  <c r="F13" i="18" s="1"/>
  <c r="C14" i="18"/>
  <c r="E14" i="18" s="1"/>
  <c r="C15" i="18" l="1"/>
  <c r="E15" i="18" s="1"/>
  <c r="D14" i="18"/>
  <c r="F14" i="18" s="1"/>
  <c r="D15" i="18" l="1"/>
  <c r="C16" i="18"/>
  <c r="E16" i="18" s="1"/>
  <c r="C17" i="18" l="1"/>
  <c r="E17" i="18" s="1"/>
  <c r="D16" i="18"/>
  <c r="F16" i="18" s="1"/>
  <c r="F15" i="18"/>
  <c r="D17" i="18" l="1"/>
  <c r="F17" i="18" s="1"/>
  <c r="C18" i="18"/>
  <c r="E18" i="18" s="1"/>
  <c r="C19" i="18" l="1"/>
  <c r="E19" i="18" s="1"/>
  <c r="D18" i="18"/>
  <c r="F18" i="18" s="1"/>
  <c r="D19" i="18" l="1"/>
  <c r="C20" i="18"/>
  <c r="E20" i="18" s="1"/>
  <c r="C21" i="18" l="1"/>
  <c r="E21" i="18" s="1"/>
  <c r="D20" i="18"/>
  <c r="F20" i="18" s="1"/>
  <c r="F19" i="18"/>
  <c r="D21" i="18" l="1"/>
  <c r="C22" i="18"/>
  <c r="E22" i="18" s="1"/>
  <c r="C23" i="18" l="1"/>
  <c r="E23" i="18" s="1"/>
  <c r="D22" i="18"/>
  <c r="F22" i="18" s="1"/>
  <c r="F21" i="18"/>
  <c r="D23" i="18" l="1"/>
  <c r="F23" i="18" s="1"/>
  <c r="C24" i="18"/>
  <c r="E24" i="18" s="1"/>
  <c r="C25" i="18" l="1"/>
  <c r="E25" i="18" s="1"/>
  <c r="D24" i="18"/>
  <c r="F24" i="18" s="1"/>
  <c r="D25" i="18" l="1"/>
  <c r="F25" i="18" s="1"/>
  <c r="C26" i="18"/>
  <c r="E26" i="18" s="1"/>
  <c r="C27" i="18" l="1"/>
  <c r="E27" i="18" s="1"/>
  <c r="D26" i="18"/>
  <c r="F26" i="18" s="1"/>
  <c r="D27" i="18" l="1"/>
  <c r="F27" i="18" s="1"/>
  <c r="C28" i="18"/>
  <c r="E28" i="18" s="1"/>
  <c r="C29" i="18" l="1"/>
  <c r="E29" i="18" s="1"/>
  <c r="D28" i="18"/>
  <c r="F28" i="18" s="1"/>
  <c r="D29" i="18" l="1"/>
  <c r="F29" i="18" s="1"/>
  <c r="C30" i="18"/>
  <c r="E30" i="18" s="1"/>
  <c r="C31" i="18" l="1"/>
  <c r="E31" i="18" s="1"/>
  <c r="D30" i="18"/>
  <c r="F30" i="18" s="1"/>
  <c r="D31" i="18" l="1"/>
  <c r="C32" i="18"/>
  <c r="E32" i="18" s="1"/>
  <c r="C33" i="18" l="1"/>
  <c r="E33" i="18" s="1"/>
  <c r="D32" i="18"/>
  <c r="F31" i="18"/>
  <c r="D33" i="18" l="1"/>
  <c r="F33" i="18" s="1"/>
  <c r="C34" i="18"/>
  <c r="E34" i="18" s="1"/>
  <c r="F32" i="18"/>
  <c r="C35" i="18" l="1"/>
  <c r="E35" i="18" s="1"/>
  <c r="D34" i="18"/>
  <c r="F34" i="18" s="1"/>
  <c r="D35" i="18" l="1"/>
  <c r="F35" i="18" s="1"/>
  <c r="H40" i="12" l="1"/>
  <c r="H44" i="12" s="1"/>
  <c r="E36" i="12"/>
  <c r="E35" i="12"/>
  <c r="E34" i="12"/>
  <c r="E33" i="12"/>
  <c r="E32" i="12"/>
  <c r="E31" i="12"/>
  <c r="E24" i="12"/>
  <c r="E23" i="12"/>
  <c r="F18" i="12"/>
  <c r="F35" i="12" s="1"/>
  <c r="G17" i="12"/>
  <c r="G34" i="12" s="1"/>
  <c r="F17" i="12"/>
  <c r="F34" i="12" s="1"/>
  <c r="H16" i="12"/>
  <c r="H33" i="12" s="1"/>
  <c r="G16" i="12"/>
  <c r="G33" i="12" s="1"/>
  <c r="F16" i="12"/>
  <c r="I15" i="12"/>
  <c r="I32" i="12" s="1"/>
  <c r="H15" i="12"/>
  <c r="H32" i="12" s="1"/>
  <c r="G15" i="12"/>
  <c r="G32" i="12" s="1"/>
  <c r="F15" i="12"/>
  <c r="F32" i="12" s="1"/>
  <c r="J14" i="12"/>
  <c r="J31" i="12" s="1"/>
  <c r="I14" i="12"/>
  <c r="I31" i="12" s="1"/>
  <c r="H14" i="12"/>
  <c r="H24" i="12" s="1"/>
  <c r="G14" i="12"/>
  <c r="F14" i="12"/>
  <c r="F31" i="12" s="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N55" i="11"/>
  <c r="H66" i="11" s="1"/>
  <c r="Q55" i="11"/>
  <c r="H63" i="11" s="1"/>
  <c r="P55" i="11"/>
  <c r="H64" i="11" s="1"/>
  <c r="O55" i="11"/>
  <c r="H65" i="11" s="1"/>
  <c r="M55" i="11"/>
  <c r="H67" i="11" s="1"/>
  <c r="L55" i="11"/>
  <c r="H68" i="11" s="1"/>
  <c r="K55" i="11"/>
  <c r="H69" i="11" s="1"/>
  <c r="J55" i="11"/>
  <c r="H70" i="11" s="1"/>
  <c r="I55" i="11"/>
  <c r="H71" i="11" s="1"/>
  <c r="H55" i="11"/>
  <c r="H72" i="11" s="1"/>
  <c r="G55" i="11"/>
  <c r="H73" i="11" s="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G61" i="10"/>
  <c r="E57" i="10"/>
  <c r="E56" i="10"/>
  <c r="E55" i="10"/>
  <c r="E54" i="10"/>
  <c r="E53" i="10"/>
  <c r="E52" i="10"/>
  <c r="E51" i="10"/>
  <c r="E50" i="10"/>
  <c r="E49" i="10"/>
  <c r="E48" i="10"/>
  <c r="E47" i="10"/>
  <c r="I46" i="10"/>
  <c r="E46" i="10"/>
  <c r="E45" i="10"/>
  <c r="E38" i="10"/>
  <c r="E37" i="10"/>
  <c r="F32" i="10"/>
  <c r="F56" i="10" s="1"/>
  <c r="G31" i="10"/>
  <c r="G55" i="10" s="1"/>
  <c r="F31" i="10"/>
  <c r="F55" i="10" s="1"/>
  <c r="H30" i="10"/>
  <c r="H54" i="10" s="1"/>
  <c r="G30" i="10"/>
  <c r="G54" i="10" s="1"/>
  <c r="F30" i="10"/>
  <c r="F54" i="10" s="1"/>
  <c r="I29" i="10"/>
  <c r="I53" i="10" s="1"/>
  <c r="H29" i="10"/>
  <c r="H53" i="10" s="1"/>
  <c r="G29" i="10"/>
  <c r="G53" i="10" s="1"/>
  <c r="F29" i="10"/>
  <c r="F53" i="10" s="1"/>
  <c r="J28" i="10"/>
  <c r="J52" i="10" s="1"/>
  <c r="I28" i="10"/>
  <c r="I52" i="10" s="1"/>
  <c r="H28" i="10"/>
  <c r="H52" i="10" s="1"/>
  <c r="G28" i="10"/>
  <c r="G52" i="10" s="1"/>
  <c r="F28" i="10"/>
  <c r="F52" i="10" s="1"/>
  <c r="K27" i="10"/>
  <c r="K51" i="10" s="1"/>
  <c r="J27" i="10"/>
  <c r="J51" i="10" s="1"/>
  <c r="I27" i="10"/>
  <c r="I51" i="10" s="1"/>
  <c r="H27" i="10"/>
  <c r="H51" i="10" s="1"/>
  <c r="G27" i="10"/>
  <c r="G51" i="10" s="1"/>
  <c r="F27" i="10"/>
  <c r="F51" i="10" s="1"/>
  <c r="L26" i="10"/>
  <c r="L50" i="10" s="1"/>
  <c r="K26" i="10"/>
  <c r="K50" i="10" s="1"/>
  <c r="J26" i="10"/>
  <c r="J50" i="10" s="1"/>
  <c r="I26" i="10"/>
  <c r="I50" i="10" s="1"/>
  <c r="H26" i="10"/>
  <c r="H50" i="10" s="1"/>
  <c r="G26" i="10"/>
  <c r="G50" i="10" s="1"/>
  <c r="F26" i="10"/>
  <c r="F50" i="10" s="1"/>
  <c r="M25" i="10"/>
  <c r="M49" i="10" s="1"/>
  <c r="L25" i="10"/>
  <c r="L49" i="10" s="1"/>
  <c r="K25" i="10"/>
  <c r="K49" i="10" s="1"/>
  <c r="J25" i="10"/>
  <c r="J49" i="10" s="1"/>
  <c r="I25" i="10"/>
  <c r="I49" i="10" s="1"/>
  <c r="H25" i="10"/>
  <c r="H49" i="10" s="1"/>
  <c r="G25" i="10"/>
  <c r="G49" i="10" s="1"/>
  <c r="F25" i="10"/>
  <c r="F49" i="10" s="1"/>
  <c r="N24" i="10"/>
  <c r="N48" i="10" s="1"/>
  <c r="M24" i="10"/>
  <c r="M48" i="10" s="1"/>
  <c r="L24" i="10"/>
  <c r="L48" i="10" s="1"/>
  <c r="K24" i="10"/>
  <c r="K48" i="10" s="1"/>
  <c r="J24" i="10"/>
  <c r="J48" i="10" s="1"/>
  <c r="I24" i="10"/>
  <c r="I48" i="10" s="1"/>
  <c r="H24" i="10"/>
  <c r="H48" i="10" s="1"/>
  <c r="G24" i="10"/>
  <c r="G48" i="10" s="1"/>
  <c r="F24" i="10"/>
  <c r="F48" i="10" s="1"/>
  <c r="O23" i="10"/>
  <c r="N23" i="10"/>
  <c r="N47" i="10" s="1"/>
  <c r="M23" i="10"/>
  <c r="M47" i="10" s="1"/>
  <c r="L23" i="10"/>
  <c r="L47" i="10" s="1"/>
  <c r="K23" i="10"/>
  <c r="J23" i="10"/>
  <c r="J47" i="10" s="1"/>
  <c r="I23" i="10"/>
  <c r="I47" i="10" s="1"/>
  <c r="H23" i="10"/>
  <c r="G23" i="10"/>
  <c r="F23" i="10"/>
  <c r="F47" i="10" s="1"/>
  <c r="P22" i="10"/>
  <c r="P46" i="10" s="1"/>
  <c r="O22" i="10"/>
  <c r="O46" i="10" s="1"/>
  <c r="N22" i="10"/>
  <c r="N46" i="10" s="1"/>
  <c r="M22" i="10"/>
  <c r="M46" i="10" s="1"/>
  <c r="L22" i="10"/>
  <c r="L46" i="10" s="1"/>
  <c r="K22" i="10"/>
  <c r="K46" i="10" s="1"/>
  <c r="J22" i="10"/>
  <c r="J46" i="10" s="1"/>
  <c r="I22" i="10"/>
  <c r="H22" i="10"/>
  <c r="H46" i="10" s="1"/>
  <c r="G22" i="10"/>
  <c r="G46" i="10" s="1"/>
  <c r="F22" i="10"/>
  <c r="F46" i="10" s="1"/>
  <c r="Q21" i="10"/>
  <c r="Q37" i="10" s="1"/>
  <c r="P21" i="10"/>
  <c r="P45" i="10" s="1"/>
  <c r="O21" i="10"/>
  <c r="O45" i="10" s="1"/>
  <c r="N21" i="10"/>
  <c r="N45" i="10" s="1"/>
  <c r="M21" i="10"/>
  <c r="L21" i="10"/>
  <c r="K21" i="10"/>
  <c r="K45" i="10" s="1"/>
  <c r="J21" i="10"/>
  <c r="I21" i="10"/>
  <c r="H21" i="10"/>
  <c r="H45" i="10" s="1"/>
  <c r="G21" i="10"/>
  <c r="G45" i="10" s="1"/>
  <c r="F21" i="10"/>
  <c r="F45" i="10" s="1"/>
  <c r="L37" i="10" l="1"/>
  <c r="I37" i="10"/>
  <c r="J37" i="10"/>
  <c r="K37" i="10"/>
  <c r="M37" i="10"/>
  <c r="P37" i="10"/>
  <c r="G37" i="10"/>
  <c r="O37" i="10"/>
  <c r="H37" i="10"/>
  <c r="G24" i="12"/>
  <c r="F24" i="12"/>
  <c r="H45" i="12"/>
  <c r="G23" i="12"/>
  <c r="G26" i="12" s="1"/>
  <c r="G35" i="12" s="1"/>
  <c r="I24" i="12"/>
  <c r="G31" i="12"/>
  <c r="H23" i="12"/>
  <c r="H26" i="12" s="1"/>
  <c r="H34" i="12" s="1"/>
  <c r="I34" i="12" s="1"/>
  <c r="H31" i="12"/>
  <c r="J23" i="12"/>
  <c r="F33" i="12"/>
  <c r="I23" i="12"/>
  <c r="I26" i="12" s="1"/>
  <c r="I33" i="12" s="1"/>
  <c r="F23" i="12"/>
  <c r="F26" i="12" s="1"/>
  <c r="F36" i="12" s="1"/>
  <c r="G36" i="12" s="1"/>
  <c r="J69" i="11"/>
  <c r="I63" i="11"/>
  <c r="J63" i="11" s="1"/>
  <c r="I65" i="11"/>
  <c r="J65" i="11" s="1"/>
  <c r="I67" i="11"/>
  <c r="J67" i="11" s="1"/>
  <c r="I69" i="11"/>
  <c r="I71" i="11"/>
  <c r="J71" i="11" s="1"/>
  <c r="I73" i="11"/>
  <c r="J73" i="11" s="1"/>
  <c r="F55" i="11"/>
  <c r="H74" i="11" s="1"/>
  <c r="I74" i="11" s="1"/>
  <c r="J74" i="11" s="1"/>
  <c r="I62" i="11"/>
  <c r="J62" i="11" s="1"/>
  <c r="I64" i="11"/>
  <c r="J64" i="11" s="1"/>
  <c r="I66" i="11"/>
  <c r="J66" i="11" s="1"/>
  <c r="I68" i="11"/>
  <c r="J68" i="11" s="1"/>
  <c r="I70" i="11"/>
  <c r="J70" i="11" s="1"/>
  <c r="I72" i="11"/>
  <c r="J72" i="11" s="1"/>
  <c r="M40" i="10"/>
  <c r="M50" i="10" s="1"/>
  <c r="I40" i="10"/>
  <c r="I54" i="10" s="1"/>
  <c r="F38" i="10"/>
  <c r="G40" i="10" s="1"/>
  <c r="G56" i="10" s="1"/>
  <c r="F37" i="10"/>
  <c r="F40" i="10" s="1"/>
  <c r="F57" i="10" s="1"/>
  <c r="G57" i="10" s="1"/>
  <c r="N37" i="10"/>
  <c r="N40" i="10" s="1"/>
  <c r="N49" i="10" s="1"/>
  <c r="I38" i="10"/>
  <c r="J40" i="10" s="1"/>
  <c r="J53" i="10" s="1"/>
  <c r="I45" i="10"/>
  <c r="Q45" i="10"/>
  <c r="G47" i="10"/>
  <c r="O47" i="10"/>
  <c r="J38" i="10"/>
  <c r="K40" i="10" s="1"/>
  <c r="K52" i="10" s="1"/>
  <c r="J45" i="10"/>
  <c r="H47" i="10"/>
  <c r="K38" i="10"/>
  <c r="L40" i="10" s="1"/>
  <c r="L51" i="10" s="1"/>
  <c r="L38" i="10"/>
  <c r="L45" i="10"/>
  <c r="M38" i="10"/>
  <c r="M45" i="10"/>
  <c r="K47" i="10"/>
  <c r="G38" i="10"/>
  <c r="H40" i="10" s="1"/>
  <c r="H55" i="10" s="1"/>
  <c r="I55" i="10" s="1"/>
  <c r="J55" i="10" s="1"/>
  <c r="K55" i="10" s="1"/>
  <c r="L55" i="10" s="1"/>
  <c r="M55" i="10" s="1"/>
  <c r="N55" i="10" s="1"/>
  <c r="O38" i="10"/>
  <c r="P40" i="10" s="1"/>
  <c r="N38" i="10"/>
  <c r="H38" i="10"/>
  <c r="P38" i="10"/>
  <c r="Q40" i="10" s="1"/>
  <c r="Q46" i="10" s="1"/>
  <c r="H36" i="12" l="1"/>
  <c r="I36" i="12" s="1"/>
  <c r="H35" i="12"/>
  <c r="I35" i="12" s="1"/>
  <c r="N50" i="10"/>
  <c r="O40" i="10"/>
  <c r="O48" i="10" s="1"/>
  <c r="P48" i="10" s="1"/>
  <c r="Q48" i="10" s="1"/>
  <c r="M51" i="10"/>
  <c r="N51" i="10" s="1"/>
  <c r="O51" i="10" s="1"/>
  <c r="P51" i="10" s="1"/>
  <c r="Q51" i="10" s="1"/>
  <c r="K53" i="10"/>
  <c r="L53" i="10" s="1"/>
  <c r="M53" i="10" s="1"/>
  <c r="N53" i="10" s="1"/>
  <c r="O53" i="10" s="1"/>
  <c r="P53" i="10" s="1"/>
  <c r="Q53" i="10" s="1"/>
  <c r="J26" i="12"/>
  <c r="J32" i="12" s="1"/>
  <c r="F77" i="11"/>
  <c r="L52" i="10"/>
  <c r="M52" i="10" s="1"/>
  <c r="N52" i="10" s="1"/>
  <c r="O52" i="10" s="1"/>
  <c r="P52" i="10" s="1"/>
  <c r="Q52" i="10" s="1"/>
  <c r="H56" i="10"/>
  <c r="I56" i="10" s="1"/>
  <c r="J56" i="10" s="1"/>
  <c r="K56" i="10" s="1"/>
  <c r="L56" i="10" s="1"/>
  <c r="M56" i="10" s="1"/>
  <c r="N56" i="10" s="1"/>
  <c r="O56" i="10" s="1"/>
  <c r="P56" i="10" s="1"/>
  <c r="Q56" i="10" s="1"/>
  <c r="H57" i="10"/>
  <c r="I57" i="10" s="1"/>
  <c r="J57" i="10" s="1"/>
  <c r="K57" i="10" s="1"/>
  <c r="L57" i="10" s="1"/>
  <c r="M57" i="10" s="1"/>
  <c r="N57" i="10" s="1"/>
  <c r="O57" i="10" s="1"/>
  <c r="P57" i="10" s="1"/>
  <c r="Q57" i="10" s="1"/>
  <c r="O50" i="10"/>
  <c r="P50" i="10" s="1"/>
  <c r="Q50" i="10" s="1"/>
  <c r="J54" i="10"/>
  <c r="K54" i="10" s="1"/>
  <c r="L54" i="10" s="1"/>
  <c r="M54" i="10" s="1"/>
  <c r="N54" i="10" s="1"/>
  <c r="O54" i="10" s="1"/>
  <c r="P54" i="10" s="1"/>
  <c r="Q54" i="10" s="1"/>
  <c r="P47" i="10"/>
  <c r="Q47" i="10" s="1"/>
  <c r="O49" i="10" l="1"/>
  <c r="P49" i="10" s="1"/>
  <c r="Q49" i="10" s="1"/>
  <c r="G60" i="10" s="1"/>
  <c r="G62" i="10" s="1"/>
  <c r="O55" i="10"/>
  <c r="P55" i="10" s="1"/>
  <c r="Q55" i="10" s="1"/>
  <c r="J36" i="12"/>
  <c r="J35" i="12"/>
  <c r="J34" i="12"/>
  <c r="J33" i="12"/>
  <c r="H39" i="12" s="1"/>
  <c r="H41" i="12" s="1"/>
  <c r="G19" i="7" l="1"/>
  <c r="F19" i="7"/>
  <c r="E19" i="4"/>
  <c r="E21" i="4" s="1"/>
  <c r="E23" i="4" s="1"/>
  <c r="F19" i="4"/>
  <c r="F21" i="4" s="1"/>
  <c r="F23" i="4" s="1"/>
  <c r="G19" i="4"/>
  <c r="G21" i="4" s="1"/>
  <c r="F11" i="4"/>
  <c r="G11" i="4"/>
  <c r="E11" i="4"/>
  <c r="D52" i="6"/>
  <c r="E52" i="6"/>
  <c r="F52" i="6"/>
  <c r="G52" i="6"/>
  <c r="I52" i="6"/>
  <c r="D53" i="6"/>
  <c r="E53" i="6"/>
  <c r="F53" i="6"/>
  <c r="G53" i="6"/>
  <c r="I53" i="6"/>
  <c r="D54" i="6"/>
  <c r="E54" i="6"/>
  <c r="F54" i="6"/>
  <c r="G54" i="6"/>
  <c r="I54" i="6"/>
  <c r="D55" i="6"/>
  <c r="E55" i="6"/>
  <c r="F55" i="6"/>
  <c r="G55" i="6"/>
  <c r="I55" i="6"/>
  <c r="D56" i="6"/>
  <c r="E56" i="6"/>
  <c r="F56" i="6"/>
  <c r="G56" i="6"/>
  <c r="I56" i="6"/>
  <c r="D57" i="6"/>
  <c r="E57" i="6"/>
  <c r="F57" i="6"/>
  <c r="G57" i="6"/>
  <c r="I57" i="6"/>
  <c r="D58" i="6"/>
  <c r="E58" i="6"/>
  <c r="F58" i="6"/>
  <c r="G58" i="6"/>
  <c r="I58" i="6"/>
  <c r="D59" i="6"/>
  <c r="E59" i="6"/>
  <c r="F59" i="6"/>
  <c r="G59" i="6"/>
  <c r="I59" i="6"/>
  <c r="D60" i="6"/>
  <c r="E60" i="6"/>
  <c r="F60" i="6"/>
  <c r="G60" i="6"/>
  <c r="I60" i="6"/>
  <c r="D61" i="6"/>
  <c r="E61" i="6"/>
  <c r="F61" i="6"/>
  <c r="G61" i="6"/>
  <c r="I61" i="6"/>
  <c r="D62" i="6"/>
  <c r="E62" i="6"/>
  <c r="F62" i="6"/>
  <c r="G62" i="6"/>
  <c r="I62" i="6"/>
  <c r="D63" i="6"/>
  <c r="E63" i="6"/>
  <c r="F63" i="6"/>
  <c r="G63" i="6"/>
  <c r="I63" i="6"/>
  <c r="D64" i="6"/>
  <c r="E64" i="6"/>
  <c r="F64" i="6"/>
  <c r="G64" i="6"/>
  <c r="I64" i="6"/>
  <c r="I6" i="6"/>
  <c r="G6" i="6"/>
  <c r="F6" i="6"/>
  <c r="E6" i="6"/>
  <c r="E8" i="6"/>
  <c r="F8" i="6"/>
  <c r="G8" i="6"/>
  <c r="I8" i="6"/>
  <c r="E9" i="6"/>
  <c r="F9" i="6"/>
  <c r="G9" i="6"/>
  <c r="I9" i="6"/>
  <c r="E10" i="6"/>
  <c r="F10" i="6"/>
  <c r="G10" i="6"/>
  <c r="I10" i="6"/>
  <c r="E11" i="6"/>
  <c r="F11" i="6"/>
  <c r="G11" i="6"/>
  <c r="I11" i="6"/>
  <c r="E12" i="6"/>
  <c r="F12" i="6"/>
  <c r="G12" i="6"/>
  <c r="I12" i="6"/>
  <c r="E13" i="6"/>
  <c r="F13" i="6"/>
  <c r="G13" i="6"/>
  <c r="I13" i="6"/>
  <c r="E14" i="6"/>
  <c r="F14" i="6"/>
  <c r="G14" i="6"/>
  <c r="I14" i="6"/>
  <c r="E15" i="6"/>
  <c r="F15" i="6"/>
  <c r="G15" i="6"/>
  <c r="I15" i="6"/>
  <c r="E16" i="6"/>
  <c r="F16" i="6"/>
  <c r="G16" i="6"/>
  <c r="I16" i="6"/>
  <c r="E17" i="6"/>
  <c r="F17" i="6"/>
  <c r="G17" i="6"/>
  <c r="I17" i="6"/>
  <c r="E18" i="6"/>
  <c r="F18" i="6"/>
  <c r="G18" i="6"/>
  <c r="I18" i="6"/>
  <c r="E19" i="6"/>
  <c r="F19" i="6"/>
  <c r="G19" i="6"/>
  <c r="I19" i="6"/>
  <c r="E20" i="6"/>
  <c r="F20" i="6"/>
  <c r="G20" i="6"/>
  <c r="I20" i="6"/>
  <c r="E21" i="6"/>
  <c r="F21" i="6"/>
  <c r="G21" i="6"/>
  <c r="I21" i="6"/>
  <c r="E22" i="6"/>
  <c r="F22" i="6"/>
  <c r="G22" i="6"/>
  <c r="I22" i="6"/>
  <c r="E23" i="6"/>
  <c r="F23" i="6"/>
  <c r="G23" i="6"/>
  <c r="I23" i="6"/>
  <c r="E24" i="6"/>
  <c r="F24" i="6"/>
  <c r="G24" i="6"/>
  <c r="I24" i="6"/>
  <c r="E25" i="6"/>
  <c r="F25" i="6"/>
  <c r="G25" i="6"/>
  <c r="I25" i="6"/>
  <c r="E26" i="6"/>
  <c r="F26" i="6"/>
  <c r="G26" i="6"/>
  <c r="I26" i="6"/>
  <c r="E27" i="6"/>
  <c r="F27" i="6"/>
  <c r="G27" i="6"/>
  <c r="I27" i="6"/>
  <c r="E28" i="6"/>
  <c r="F28" i="6"/>
  <c r="G28" i="6"/>
  <c r="I28" i="6"/>
  <c r="E29" i="6"/>
  <c r="F29" i="6"/>
  <c r="G29" i="6"/>
  <c r="I29" i="6"/>
  <c r="E30" i="6"/>
  <c r="F30" i="6"/>
  <c r="G30" i="6"/>
  <c r="I30" i="6"/>
  <c r="E31" i="6"/>
  <c r="F31" i="6"/>
  <c r="G31" i="6"/>
  <c r="I31" i="6"/>
  <c r="E32" i="6"/>
  <c r="F32" i="6"/>
  <c r="G32" i="6"/>
  <c r="I32" i="6"/>
  <c r="E33" i="6"/>
  <c r="F33" i="6"/>
  <c r="G33" i="6"/>
  <c r="I33" i="6"/>
  <c r="E34" i="6"/>
  <c r="F34" i="6"/>
  <c r="G34" i="6"/>
  <c r="I34" i="6"/>
  <c r="E35" i="6"/>
  <c r="F35" i="6"/>
  <c r="G35" i="6"/>
  <c r="I35" i="6"/>
  <c r="E36" i="6"/>
  <c r="F36" i="6"/>
  <c r="G36" i="6"/>
  <c r="I36" i="6"/>
  <c r="E37" i="6"/>
  <c r="F37" i="6"/>
  <c r="G37" i="6"/>
  <c r="I37" i="6"/>
  <c r="E38" i="6"/>
  <c r="F38" i="6"/>
  <c r="G38" i="6"/>
  <c r="I38" i="6"/>
  <c r="E39" i="6"/>
  <c r="F39" i="6"/>
  <c r="G39" i="6"/>
  <c r="I39" i="6"/>
  <c r="E40" i="6"/>
  <c r="F40" i="6"/>
  <c r="G40" i="6"/>
  <c r="I40" i="6"/>
  <c r="E41" i="6"/>
  <c r="F41" i="6"/>
  <c r="G41" i="6"/>
  <c r="I41" i="6"/>
  <c r="E42" i="6"/>
  <c r="F42" i="6"/>
  <c r="G42" i="6"/>
  <c r="I42" i="6"/>
  <c r="E43" i="6"/>
  <c r="F43" i="6"/>
  <c r="G43" i="6"/>
  <c r="I43" i="6"/>
  <c r="E44" i="6"/>
  <c r="F44" i="6"/>
  <c r="G44" i="6"/>
  <c r="I44" i="6"/>
  <c r="E45" i="6"/>
  <c r="F45" i="6"/>
  <c r="G45" i="6"/>
  <c r="I45" i="6"/>
  <c r="E46" i="6"/>
  <c r="F46" i="6"/>
  <c r="G46" i="6"/>
  <c r="I46" i="6"/>
  <c r="E47" i="6"/>
  <c r="F47" i="6"/>
  <c r="G47" i="6"/>
  <c r="I47" i="6"/>
  <c r="E48" i="6"/>
  <c r="F48" i="6"/>
  <c r="G48" i="6"/>
  <c r="I48" i="6"/>
  <c r="E49" i="6"/>
  <c r="F49" i="6"/>
  <c r="G49" i="6"/>
  <c r="I49" i="6"/>
  <c r="E50" i="6"/>
  <c r="F50" i="6"/>
  <c r="G50" i="6"/>
  <c r="I50" i="6"/>
  <c r="E51" i="6"/>
  <c r="F51" i="6"/>
  <c r="G51" i="6"/>
  <c r="I5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7" i="6"/>
  <c r="O14" i="6" l="1"/>
  <c r="N14" i="6"/>
  <c r="N9" i="6"/>
  <c r="O8" i="6"/>
  <c r="P8" i="6"/>
  <c r="P11" i="6" s="1"/>
  <c r="O9" i="6"/>
  <c r="P9" i="6"/>
  <c r="P14" i="6"/>
  <c r="P16" i="6" s="1"/>
  <c r="G13" i="4" s="1"/>
  <c r="N8" i="6"/>
  <c r="R9" i="6"/>
  <c r="E19" i="7"/>
  <c r="G23" i="4"/>
  <c r="P13" i="6" l="1"/>
  <c r="O13" i="6"/>
  <c r="D10" i="8"/>
  <c r="N16" i="6"/>
  <c r="E13" i="4" s="1"/>
  <c r="E9" i="7" s="1"/>
  <c r="G16" i="4"/>
  <c r="G26" i="4" s="1"/>
  <c r="G16" i="7" s="1"/>
  <c r="G9" i="7"/>
  <c r="E16" i="4"/>
  <c r="E26" i="4" s="1"/>
  <c r="E16" i="7" s="1"/>
  <c r="O16" i="6"/>
  <c r="F13" i="4" s="1"/>
  <c r="O11" i="6"/>
  <c r="N11" i="6"/>
  <c r="N13" i="6"/>
  <c r="G15" i="7" l="1"/>
  <c r="F16" i="4"/>
  <c r="F26" i="4" s="1"/>
  <c r="F16" i="7" s="1"/>
  <c r="F9" i="7"/>
  <c r="F15" i="7" s="1"/>
  <c r="E15" i="7"/>
  <c r="E20" i="7" s="1"/>
  <c r="D6" i="8"/>
  <c r="D8" i="8" s="1"/>
  <c r="D13" i="8" s="1"/>
</calcChain>
</file>

<file path=xl/sharedStrings.xml><?xml version="1.0" encoding="utf-8"?>
<sst xmlns="http://schemas.openxmlformats.org/spreadsheetml/2006/main" count="277" uniqueCount="183">
  <si>
    <t>monthly toll fee</t>
  </si>
  <si>
    <t>Project1</t>
  </si>
  <si>
    <t>Project2</t>
  </si>
  <si>
    <t>Project3</t>
  </si>
  <si>
    <t>months</t>
  </si>
  <si>
    <t>( in crores of rupees)</t>
  </si>
  <si>
    <t>Q, inc</t>
  </si>
  <si>
    <t>cov</t>
  </si>
  <si>
    <t>1 to M</t>
  </si>
  <si>
    <t>3 to M</t>
  </si>
  <si>
    <t>2 to M</t>
  </si>
  <si>
    <t>variance</t>
  </si>
  <si>
    <t>M</t>
  </si>
  <si>
    <t>beta</t>
  </si>
  <si>
    <t>corr</t>
  </si>
  <si>
    <t>std</t>
  </si>
  <si>
    <t>[3]</t>
  </si>
  <si>
    <t>or</t>
  </si>
  <si>
    <t>Systematic risk</t>
  </si>
  <si>
    <t>modification</t>
  </si>
  <si>
    <t>beta^2 * Variance of M</t>
  </si>
  <si>
    <t>systematic risk</t>
  </si>
  <si>
    <t>specific risk</t>
  </si>
  <si>
    <t>value at risk</t>
  </si>
  <si>
    <t>[3 ]</t>
  </si>
  <si>
    <t>[1.5]</t>
  </si>
  <si>
    <t>[4.5 ]</t>
  </si>
  <si>
    <t>specific risk =  variance of the Error term</t>
  </si>
  <si>
    <t>is -t such that</t>
  </si>
  <si>
    <t>p(x&lt;t)=.05</t>
  </si>
  <si>
    <t>x follows normal( 0, sigma^2)</t>
  </si>
  <si>
    <t>phi(t/sigma)=.05</t>
  </si>
  <si>
    <t>t/sigm = phiinverse(.05)</t>
  </si>
  <si>
    <t>sigma = t/ phiinverse(.05)</t>
  </si>
  <si>
    <t>cov 1,2</t>
  </si>
  <si>
    <t>cov 2,3</t>
  </si>
  <si>
    <t>cov 1,3</t>
  </si>
  <si>
    <t>sys risk</t>
  </si>
  <si>
    <t>proportion</t>
  </si>
  <si>
    <t>check</t>
  </si>
  <si>
    <t>[1]</t>
  </si>
  <si>
    <t>[0.5]</t>
  </si>
  <si>
    <t>[2]</t>
  </si>
  <si>
    <t>proportion^2</t>
  </si>
  <si>
    <t>total risk</t>
  </si>
  <si>
    <t xml:space="preserve"> toll received from the entire country</t>
  </si>
  <si>
    <t>Value at risk ( in crores of rupees)</t>
  </si>
  <si>
    <t>NORM.S.INV(0.05)</t>
  </si>
  <si>
    <t>Data for Question 1 (a) and (b)</t>
  </si>
  <si>
    <t>Rs. In Crores</t>
  </si>
  <si>
    <t>Cover Months/Development months</t>
  </si>
  <si>
    <t>Premium</t>
  </si>
  <si>
    <t>Expected Loss Ratio</t>
  </si>
  <si>
    <t>Data for Question 1 (d)</t>
  </si>
  <si>
    <t>Estimation of reserves using Basic Chain-ladder Method</t>
  </si>
  <si>
    <t>Calculating the cumulative claims</t>
  </si>
  <si>
    <t>Calculating the Development Factors</t>
  </si>
  <si>
    <t>Sum of all rows</t>
  </si>
  <si>
    <t>Sum of all but one rows</t>
  </si>
  <si>
    <t>Development Factors</t>
  </si>
  <si>
    <t>Total Expected Claims</t>
  </si>
  <si>
    <t>Total Claims Paid</t>
  </si>
  <si>
    <t>Required Reserve</t>
  </si>
  <si>
    <t>Estimation of reserves using Bornhuetter-Ferguson Method</t>
  </si>
  <si>
    <t>Calculating expected claims</t>
  </si>
  <si>
    <t>Expected Claims</t>
  </si>
  <si>
    <t>Calculating the development factors &amp; cumulative factors (f)</t>
  </si>
  <si>
    <t>Deveopment Factors</t>
  </si>
  <si>
    <t>Cumulative Factors (f)</t>
  </si>
  <si>
    <t>Using cumulative factors and expected loss ratio, the balance claims to be paid are found as follows:</t>
  </si>
  <si>
    <t>Expected Initial Outgo</t>
  </si>
  <si>
    <t>Expected Outgo based till 31.03.2021</t>
  </si>
  <si>
    <t>Balance to be paid</t>
  </si>
  <si>
    <t>Reserves Required</t>
  </si>
  <si>
    <t>Q.No.1 c</t>
  </si>
  <si>
    <t>Comments:</t>
  </si>
  <si>
    <t xml:space="preserve">The development ratios are not constant for each origin year. It varies from 1.011 to 2.106. </t>
  </si>
  <si>
    <r>
      <t xml:space="preserve">This variation is due to the distortion in </t>
    </r>
    <r>
      <rPr>
        <b/>
        <sz val="11"/>
        <color theme="1"/>
        <rFont val="Calibri"/>
        <family val="2"/>
        <scheme val="minor"/>
      </rPr>
      <t>reporting of claims, premium income, occurance of claims</t>
    </r>
    <r>
      <rPr>
        <sz val="11"/>
        <color theme="1"/>
        <rFont val="Calibri"/>
        <family val="2"/>
        <scheme val="minor"/>
      </rPr>
      <t xml:space="preserve"> and all are due to pandemic shock. </t>
    </r>
  </si>
  <si>
    <t xml:space="preserve">The profile of the portfolio has changed during the financial year. So, the development of claims is not a constant proportion for each policy month. </t>
  </si>
  <si>
    <t>This is in condraction with the assumption of Basic Chain-ladder method. So, this method is not suitable for this claim pattern.</t>
  </si>
  <si>
    <t xml:space="preserve">The amount of claims reported in the later months are very small when compared with the initial months. </t>
  </si>
  <si>
    <t xml:space="preserve">This makes the model statistically week and the results may be distorted due to these small numbers. </t>
  </si>
  <si>
    <t>Total Expected Claims as per Q No.1 a</t>
  </si>
  <si>
    <t>Total Claims paid</t>
  </si>
  <si>
    <t>Comments</t>
  </si>
  <si>
    <t xml:space="preserve">The required reserve considering the longer run-off period will be higher than the reserve considering the shorter run-off period due to the loss of information about the claims reported after six months. </t>
  </si>
  <si>
    <t xml:space="preserve">Therefore a suitable adjustment like increasing the sixth month claim amount or rating up of required reserve may be required. </t>
  </si>
  <si>
    <t>1 a)</t>
  </si>
  <si>
    <t>Share Price      So</t>
  </si>
  <si>
    <t>r(continiously compounding)</t>
  </si>
  <si>
    <t>pa</t>
  </si>
  <si>
    <t>u</t>
  </si>
  <si>
    <t>d</t>
  </si>
  <si>
    <t>risk neutral probablity</t>
  </si>
  <si>
    <t>q</t>
  </si>
  <si>
    <t>(1 mark)</t>
  </si>
  <si>
    <t>State price (calculated for 1 unit)</t>
  </si>
  <si>
    <t>S1</t>
  </si>
  <si>
    <t>S2</t>
  </si>
  <si>
    <t>S3</t>
  </si>
  <si>
    <t xml:space="preserve"> </t>
  </si>
  <si>
    <t>Max 4 marks</t>
  </si>
  <si>
    <t>1 b)</t>
  </si>
  <si>
    <t>The state price deflators for these states are</t>
  </si>
  <si>
    <t>State</t>
  </si>
  <si>
    <t>Price</t>
  </si>
  <si>
    <t>State Price Deflators</t>
  </si>
  <si>
    <t>Share price at end of 2 months</t>
  </si>
  <si>
    <t>(1.5 marks)</t>
  </si>
  <si>
    <t>Real world probalities</t>
  </si>
  <si>
    <t>Expected share price after 2 months</t>
  </si>
  <si>
    <t>Monthly Rate of Return</t>
  </si>
  <si>
    <t>1 c)</t>
  </si>
  <si>
    <t>Strike Price K</t>
  </si>
  <si>
    <t xml:space="preserve">The put option payoff </t>
  </si>
  <si>
    <t>Value of the put option using risk-neutral probablity</t>
  </si>
  <si>
    <t xml:space="preserve">T </t>
  </si>
  <si>
    <t>S</t>
  </si>
  <si>
    <t>K</t>
  </si>
  <si>
    <t>r</t>
  </si>
  <si>
    <t>pa continuous compounding</t>
  </si>
  <si>
    <t>T-t</t>
  </si>
  <si>
    <t>years</t>
  </si>
  <si>
    <t>(USING BLACK- SCHOLES MODEL)</t>
  </si>
  <si>
    <t>(4 marks)</t>
  </si>
  <si>
    <r>
      <t xml:space="preserve">Trial </t>
    </r>
    <r>
      <rPr>
        <sz val="11"/>
        <color theme="1"/>
        <rFont val="Calibri"/>
        <family val="2"/>
      </rPr>
      <t>σ</t>
    </r>
  </si>
  <si>
    <t>d1</t>
  </si>
  <si>
    <t>d2</t>
  </si>
  <si>
    <t>p</t>
  </si>
  <si>
    <t>(closely matching with estimated option price in 1 c)</t>
  </si>
  <si>
    <t>(closely matching with current option price)</t>
  </si>
  <si>
    <t xml:space="preserve">Implied annual volatility = </t>
  </si>
  <si>
    <t>1 mark</t>
  </si>
  <si>
    <t>(6 marks)</t>
  </si>
  <si>
    <t>option price from 1 c)</t>
  </si>
  <si>
    <t xml:space="preserve">current option price </t>
  </si>
  <si>
    <t>Implied volatility corresponding to price from 1c)</t>
  </si>
  <si>
    <t>(from 1.ii)</t>
  </si>
  <si>
    <t>Implied volatility corresponding to current price</t>
  </si>
  <si>
    <t>Vega</t>
  </si>
  <si>
    <t>(2 mark)</t>
  </si>
  <si>
    <t>If assumed volatility change by 1 %</t>
  </si>
  <si>
    <t>the impact on the option price will be 1% * vega =</t>
  </si>
  <si>
    <t>Rupees</t>
  </si>
  <si>
    <t>Put call parity</t>
  </si>
  <si>
    <t>ct+ K e^(-r*T)= pt+ St e^(-q*T)</t>
  </si>
  <si>
    <t>Risk free rate r</t>
  </si>
  <si>
    <t>Non-dividend paying share q</t>
  </si>
  <si>
    <t>Put price</t>
  </si>
  <si>
    <t>Share price</t>
  </si>
  <si>
    <t>Present value of Strike</t>
  </si>
  <si>
    <t>T</t>
  </si>
  <si>
    <t>call option price</t>
  </si>
  <si>
    <t>(3 marks)</t>
  </si>
  <si>
    <t>Risk-free rate</t>
  </si>
  <si>
    <t>Index value</t>
  </si>
  <si>
    <t>Forward price</t>
  </si>
  <si>
    <t>(2 marks)</t>
  </si>
  <si>
    <t>Call Option payoff</t>
  </si>
  <si>
    <t>Forward payoff</t>
  </si>
  <si>
    <t>Portfolio Payoff</t>
  </si>
  <si>
    <t>1 mark for proper share price range selection</t>
  </si>
  <si>
    <t>1 marks for option payoff</t>
  </si>
  <si>
    <t>1 marks for forward payoff</t>
  </si>
  <si>
    <t>1 mark for portfolio payoff</t>
  </si>
  <si>
    <t>2 marks for approprate chart</t>
  </si>
  <si>
    <t>1 mark for labeling</t>
  </si>
  <si>
    <t>(7 marks)</t>
  </si>
  <si>
    <t>2 Marks</t>
  </si>
  <si>
    <t xml:space="preserve">2 Marks </t>
  </si>
  <si>
    <t>Total 10 Marks</t>
  </si>
  <si>
    <t>2 Marks for Expected Outgo</t>
  </si>
  <si>
    <t>2 Marks for Balance to be paid</t>
  </si>
  <si>
    <t>2 Marks for Reserve</t>
  </si>
  <si>
    <t>Total 12 Marks</t>
  </si>
  <si>
    <t>2 Marks for each point</t>
  </si>
  <si>
    <t>Total 6 marks</t>
  </si>
  <si>
    <t>1 Mark</t>
  </si>
  <si>
    <t>Total 6 Marks</t>
  </si>
  <si>
    <t>(Note:
 S3 here is calculated using formula 1-H32-H33, alternatively 
it can be calculated as H12/H21 and if done so the Expected share price after 2 months will be 438. Kindly award full mark for this approach also.)</t>
  </si>
  <si>
    <t>Forward Price</t>
  </si>
  <si>
    <t>4 Marks for completing the triangle</t>
  </si>
  <si>
    <t xml:space="preserve">2 Marks for incomplete/incorrect triangle provided development factors are correct.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</si>
</sst>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"/>
    <numFmt numFmtId="169" formatCode="_(* #,##0.00000_);_(* \(#,##0.00000\);_(* &quot;-&quot;??_);_(@_)"/>
    <numFmt numFmtId="170" formatCode="0.0000%"/>
    <numFmt numFmtId="171" formatCode="_(* #,##0.0000000_);_(* \(#,##0.0000000\);_(* &quot;-&quot;??_);_(@_)"/>
    <numFmt numFmtId="172" formatCode="_(* #,##0.00000_);_(* \(#,##0.00000\);_(* &quot;-&quot;?????_);_(@_)"/>
    <numFmt numFmtId="173" formatCode="_(* #,##0.000000_);_(* \(#,##0.000000\);_(* &quot;-&quot;??_);_(@_)"/>
    <numFmt numFmtId="174" formatCode="0.000000"/>
    <numFmt numFmtId="175" formatCode="0.0"/>
    <numFmt numFmtId="176" formatCode="0.0%"/>
    <numFmt numFmtId="177" formatCode="0.00000"/>
    <numFmt numFmtId="178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164" fontId="0" fillId="0" borderId="0" xfId="2" applyFont="1"/>
    <xf numFmtId="10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0" fillId="2" borderId="1" xfId="0" applyFill="1" applyBorder="1"/>
    <xf numFmtId="167" fontId="0" fillId="2" borderId="1" xfId="2" applyNumberFormat="1" applyFont="1" applyFill="1" applyBorder="1"/>
    <xf numFmtId="168" fontId="0" fillId="2" borderId="1" xfId="0" applyNumberFormat="1" applyFill="1" applyBorder="1"/>
    <xf numFmtId="0" fontId="2" fillId="0" borderId="0" xfId="0" applyFont="1"/>
    <xf numFmtId="0" fontId="0" fillId="0" borderId="1" xfId="0" applyFill="1" applyBorder="1"/>
    <xf numFmtId="168" fontId="0" fillId="0" borderId="1" xfId="0" applyNumberFormat="1" applyFill="1" applyBorder="1"/>
    <xf numFmtId="167" fontId="0" fillId="0" borderId="1" xfId="2" applyNumberFormat="1" applyFont="1" applyFill="1" applyBorder="1"/>
    <xf numFmtId="0" fontId="0" fillId="0" borderId="0" xfId="0" applyFill="1" applyBorder="1"/>
    <xf numFmtId="9" fontId="0" fillId="0" borderId="0" xfId="1" applyFont="1" applyFill="1" applyBorder="1"/>
    <xf numFmtId="0" fontId="2" fillId="0" borderId="0" xfId="0" applyFont="1" applyFill="1" applyBorder="1"/>
    <xf numFmtId="0" fontId="0" fillId="0" borderId="0" xfId="0" quotePrefix="1" applyFill="1" applyBorder="1"/>
    <xf numFmtId="166" fontId="0" fillId="0" borderId="0" xfId="2" applyNumberFormat="1" applyFont="1" applyFill="1" applyBorder="1"/>
    <xf numFmtId="165" fontId="0" fillId="0" borderId="0" xfId="2" applyNumberFormat="1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quotePrefix="1" applyFill="1" applyBorder="1" applyAlignment="1">
      <alignment wrapText="1"/>
    </xf>
    <xf numFmtId="0" fontId="0" fillId="0" borderId="0" xfId="0" applyFill="1" applyBorder="1" applyAlignment="1">
      <alignment wrapText="1"/>
    </xf>
    <xf numFmtId="10" fontId="0" fillId="0" borderId="0" xfId="1" applyNumberFormat="1" applyFont="1" applyFill="1" applyBorder="1"/>
    <xf numFmtId="166" fontId="0" fillId="0" borderId="0" xfId="0" applyNumberFormat="1" applyFill="1" applyBorder="1"/>
    <xf numFmtId="10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170" fontId="0" fillId="2" borderId="21" xfId="1" applyNumberFormat="1" applyFont="1" applyFill="1" applyBorder="1"/>
    <xf numFmtId="170" fontId="0" fillId="2" borderId="0" xfId="1" applyNumberFormat="1" applyFont="1" applyFill="1" applyBorder="1"/>
    <xf numFmtId="170" fontId="0" fillId="2" borderId="22" xfId="1" applyNumberFormat="1" applyFont="1" applyFill="1" applyBorder="1"/>
    <xf numFmtId="10" fontId="0" fillId="2" borderId="21" xfId="1" applyNumberFormat="1" applyFont="1" applyFill="1" applyBorder="1"/>
    <xf numFmtId="10" fontId="0" fillId="2" borderId="0" xfId="1" applyNumberFormat="1" applyFont="1" applyFill="1" applyBorder="1"/>
    <xf numFmtId="10" fontId="0" fillId="2" borderId="22" xfId="1" applyNumberFormat="1" applyFont="1" applyFill="1" applyBorder="1"/>
    <xf numFmtId="170" fontId="2" fillId="2" borderId="23" xfId="1" applyNumberFormat="1" applyFont="1" applyFill="1" applyBorder="1"/>
    <xf numFmtId="170" fontId="2" fillId="2" borderId="24" xfId="1" applyNumberFormat="1" applyFont="1" applyFill="1" applyBorder="1"/>
    <xf numFmtId="170" fontId="2" fillId="2" borderId="3" xfId="1" applyNumberFormat="1" applyFont="1" applyFill="1" applyBorder="1"/>
    <xf numFmtId="0" fontId="2" fillId="2" borderId="0" xfId="0" applyFont="1" applyFill="1"/>
    <xf numFmtId="0" fontId="0" fillId="2" borderId="25" xfId="0" applyFill="1" applyBorder="1"/>
    <xf numFmtId="0" fontId="0" fillId="2" borderId="26" xfId="0" applyFill="1" applyBorder="1"/>
    <xf numFmtId="0" fontId="0" fillId="2" borderId="2" xfId="0" applyFill="1" applyBorder="1"/>
    <xf numFmtId="165" fontId="0" fillId="0" borderId="1" xfId="2" applyNumberFormat="1" applyFont="1" applyFill="1" applyBorder="1"/>
    <xf numFmtId="168" fontId="0" fillId="0" borderId="1" xfId="2" applyNumberFormat="1" applyFont="1" applyFill="1" applyBorder="1"/>
    <xf numFmtId="164" fontId="0" fillId="0" borderId="1" xfId="2" applyFont="1" applyFill="1" applyBorder="1"/>
    <xf numFmtId="164" fontId="2" fillId="0" borderId="1" xfId="2" applyFont="1" applyFill="1" applyBorder="1" applyAlignment="1">
      <alignment wrapText="1"/>
    </xf>
    <xf numFmtId="164" fontId="0" fillId="2" borderId="1" xfId="2" applyFont="1" applyFill="1" applyBorder="1"/>
    <xf numFmtId="167" fontId="0" fillId="2" borderId="1" xfId="0" applyNumberFormat="1" applyFill="1" applyBorder="1"/>
    <xf numFmtId="171" fontId="0" fillId="0" borderId="1" xfId="2" applyNumberFormat="1" applyFont="1" applyBorder="1"/>
    <xf numFmtId="166" fontId="0" fillId="2" borderId="1" xfId="2" applyNumberFormat="1" applyFont="1" applyFill="1" applyBorder="1"/>
    <xf numFmtId="169" fontId="0" fillId="2" borderId="1" xfId="0" applyNumberFormat="1" applyFill="1" applyBorder="1"/>
    <xf numFmtId="169" fontId="0" fillId="0" borderId="1" xfId="0" applyNumberFormat="1" applyBorder="1"/>
    <xf numFmtId="169" fontId="0" fillId="2" borderId="1" xfId="2" applyNumberFormat="1" applyFont="1" applyFill="1" applyBorder="1"/>
    <xf numFmtId="172" fontId="0" fillId="0" borderId="1" xfId="0" applyNumberFormat="1" applyBorder="1"/>
    <xf numFmtId="173" fontId="0" fillId="0" borderId="1" xfId="2" applyNumberFormat="1" applyFont="1" applyFill="1" applyBorder="1"/>
    <xf numFmtId="0" fontId="0" fillId="3" borderId="0" xfId="0" applyFill="1" applyBorder="1"/>
    <xf numFmtId="0" fontId="0" fillId="4" borderId="1" xfId="0" applyFill="1" applyBorder="1" applyAlignment="1">
      <alignment wrapText="1"/>
    </xf>
    <xf numFmtId="1" fontId="0" fillId="4" borderId="1" xfId="0" applyNumberFormat="1" applyFill="1" applyBorder="1"/>
    <xf numFmtId="0" fontId="0" fillId="4" borderId="1" xfId="0" applyFill="1" applyBorder="1"/>
    <xf numFmtId="17" fontId="0" fillId="4" borderId="1" xfId="0" applyNumberFormat="1" applyFill="1" applyBorder="1"/>
    <xf numFmtId="9" fontId="0" fillId="4" borderId="1" xfId="0" applyNumberFormat="1" applyFill="1" applyBorder="1"/>
    <xf numFmtId="0" fontId="5" fillId="0" borderId="0" xfId="0" applyFont="1"/>
    <xf numFmtId="0" fontId="0" fillId="0" borderId="1" xfId="0" applyBorder="1" applyAlignment="1">
      <alignment wrapText="1"/>
    </xf>
    <xf numFmtId="1" fontId="0" fillId="0" borderId="1" xfId="0" applyNumberFormat="1" applyBorder="1"/>
    <xf numFmtId="17" fontId="0" fillId="0" borderId="1" xfId="0" applyNumberFormat="1" applyBorder="1"/>
    <xf numFmtId="168" fontId="0" fillId="0" borderId="1" xfId="0" applyNumberFormat="1" applyBorder="1"/>
    <xf numFmtId="1" fontId="0" fillId="5" borderId="1" xfId="0" applyNumberForma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" fontId="0" fillId="0" borderId="0" xfId="0" applyNumberFormat="1"/>
    <xf numFmtId="0" fontId="0" fillId="0" borderId="22" xfId="0" applyBorder="1"/>
    <xf numFmtId="0" fontId="0" fillId="0" borderId="23" xfId="0" applyBorder="1"/>
    <xf numFmtId="0" fontId="0" fillId="0" borderId="24" xfId="0" applyBorder="1"/>
    <xf numFmtId="1" fontId="0" fillId="0" borderId="24" xfId="0" applyNumberFormat="1" applyBorder="1"/>
    <xf numFmtId="0" fontId="0" fillId="0" borderId="3" xfId="0" applyBorder="1"/>
    <xf numFmtId="9" fontId="0" fillId="0" borderId="1" xfId="0" applyNumberFormat="1" applyBorder="1"/>
    <xf numFmtId="2" fontId="0" fillId="0" borderId="1" xfId="0" applyNumberFormat="1" applyBorder="1"/>
    <xf numFmtId="0" fontId="0" fillId="0" borderId="27" xfId="0" applyBorder="1"/>
    <xf numFmtId="0" fontId="0" fillId="0" borderId="28" xfId="0" applyBorder="1"/>
    <xf numFmtId="1" fontId="0" fillId="0" borderId="29" xfId="0" applyNumberFormat="1" applyBorder="1"/>
    <xf numFmtId="1" fontId="0" fillId="0" borderId="19" xfId="0" applyNumberFormat="1" applyBorder="1"/>
    <xf numFmtId="0" fontId="0" fillId="3" borderId="0" xfId="0" applyFill="1"/>
    <xf numFmtId="9" fontId="0" fillId="0" borderId="0" xfId="0" applyNumberFormat="1"/>
    <xf numFmtId="0" fontId="0" fillId="4" borderId="0" xfId="0" applyFill="1"/>
    <xf numFmtId="174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/>
    <xf numFmtId="176" fontId="0" fillId="0" borderId="0" xfId="1" applyNumberFormat="1" applyFont="1"/>
    <xf numFmtId="9" fontId="0" fillId="3" borderId="0" xfId="0" applyNumberFormat="1" applyFill="1"/>
    <xf numFmtId="0" fontId="0" fillId="6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77" fontId="0" fillId="3" borderId="0" xfId="0" applyNumberFormat="1" applyFill="1" applyAlignment="1">
      <alignment horizontal="center"/>
    </xf>
    <xf numFmtId="175" fontId="0" fillId="7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/>
    <xf numFmtId="10" fontId="0" fillId="4" borderId="0" xfId="0" applyNumberFormat="1" applyFill="1" applyAlignment="1">
      <alignment horizontal="center"/>
    </xf>
    <xf numFmtId="177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center"/>
    </xf>
    <xf numFmtId="10" fontId="0" fillId="0" borderId="0" xfId="0" applyNumberFormat="1"/>
    <xf numFmtId="1" fontId="0" fillId="3" borderId="0" xfId="0" applyNumberFormat="1" applyFill="1"/>
    <xf numFmtId="175" fontId="0" fillId="3" borderId="0" xfId="0" applyNumberFormat="1" applyFill="1"/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8" borderId="0" xfId="0" applyFill="1"/>
    <xf numFmtId="0" fontId="0" fillId="6" borderId="0" xfId="0" applyFill="1"/>
    <xf numFmtId="3" fontId="0" fillId="3" borderId="0" xfId="0" applyNumberFormat="1" applyFill="1"/>
    <xf numFmtId="3" fontId="0" fillId="4" borderId="0" xfId="0" applyNumberFormat="1" applyFill="1"/>
    <xf numFmtId="3" fontId="0" fillId="8" borderId="0" xfId="0" applyNumberFormat="1" applyFill="1"/>
    <xf numFmtId="0" fontId="0" fillId="0" borderId="0" xfId="0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Investor's Payoff Chart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portfolio payoff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'Q3(vi)'!$F$5:$F$35</c:f>
              <c:numCache>
                <c:formatCode>#,##0</c:formatCode>
                <c:ptCount val="31"/>
                <c:pt idx="0">
                  <c:v>137.90968818399841</c:v>
                </c:pt>
                <c:pt idx="1">
                  <c:v>127.90968818399841</c:v>
                </c:pt>
                <c:pt idx="2">
                  <c:v>117.90968818399841</c:v>
                </c:pt>
                <c:pt idx="3">
                  <c:v>107.90968818399841</c:v>
                </c:pt>
                <c:pt idx="4">
                  <c:v>97.909688183998412</c:v>
                </c:pt>
                <c:pt idx="5">
                  <c:v>87.909688183998412</c:v>
                </c:pt>
                <c:pt idx="6">
                  <c:v>77.909688183998412</c:v>
                </c:pt>
                <c:pt idx="7">
                  <c:v>67.909688183998412</c:v>
                </c:pt>
                <c:pt idx="8">
                  <c:v>57.909688183998412</c:v>
                </c:pt>
                <c:pt idx="9">
                  <c:v>47.909688183998412</c:v>
                </c:pt>
                <c:pt idx="10">
                  <c:v>37.909688183998412</c:v>
                </c:pt>
                <c:pt idx="11">
                  <c:v>27.909688183998412</c:v>
                </c:pt>
                <c:pt idx="12">
                  <c:v>17.909688183998412</c:v>
                </c:pt>
                <c:pt idx="13">
                  <c:v>17.909688183998412</c:v>
                </c:pt>
                <c:pt idx="14">
                  <c:v>17.909688183998412</c:v>
                </c:pt>
                <c:pt idx="15">
                  <c:v>17.909688183998412</c:v>
                </c:pt>
                <c:pt idx="16">
                  <c:v>17.909688183998412</c:v>
                </c:pt>
                <c:pt idx="17">
                  <c:v>17.909688183998412</c:v>
                </c:pt>
                <c:pt idx="18">
                  <c:v>17.909688183998412</c:v>
                </c:pt>
                <c:pt idx="19">
                  <c:v>17.909688183998412</c:v>
                </c:pt>
                <c:pt idx="20">
                  <c:v>17.909688183998412</c:v>
                </c:pt>
                <c:pt idx="21">
                  <c:v>17.909688183998412</c:v>
                </c:pt>
                <c:pt idx="22">
                  <c:v>17.909688183998412</c:v>
                </c:pt>
                <c:pt idx="23">
                  <c:v>17.909688183998412</c:v>
                </c:pt>
                <c:pt idx="24">
                  <c:v>17.909688183998412</c:v>
                </c:pt>
                <c:pt idx="25">
                  <c:v>17.909688183998412</c:v>
                </c:pt>
                <c:pt idx="26">
                  <c:v>17.909688183998412</c:v>
                </c:pt>
                <c:pt idx="27">
                  <c:v>17.909688183998412</c:v>
                </c:pt>
                <c:pt idx="28">
                  <c:v>17.909688183998412</c:v>
                </c:pt>
                <c:pt idx="29">
                  <c:v>17.909688183998412</c:v>
                </c:pt>
                <c:pt idx="30">
                  <c:v>17.909688183998412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D-4301-A5ED-856900D16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327856"/>
        <c:axId val="2076328944"/>
      </c:lineChart>
      <c:catAx>
        <c:axId val="207632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Share</a:t>
                </a:r>
                <a:r>
                  <a:rPr lang="en-US" baseline="0"/>
                  <a:t> Price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328944"/>
        <c:crosses val="autoZero"/>
        <c:auto val="1"/>
        <c:lblAlgn val="ctr"/>
        <c:lblOffset val="100"/>
        <c:noMultiLvlLbl val="0"/>
      </c:catAx>
      <c:valAx>
        <c:axId val="20763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Portfolio</a:t>
                </a:r>
                <a:r>
                  <a:rPr lang="en-IN" baseline="0"/>
                  <a:t> Payoff</a:t>
                </a:r>
                <a:endParaRPr lang="en-I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32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17</xdr:col>
      <xdr:colOff>590550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66A9E3-1CE8-41D2-859B-C41EEED88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73"/>
  <sheetViews>
    <sheetView tabSelected="1" zoomScale="85" zoomScaleNormal="85" workbookViewId="0"/>
  </sheetViews>
  <sheetFormatPr defaultRowHeight="15" x14ac:dyDescent="0.25"/>
  <cols>
    <col min="4" max="4" width="29.28515625" customWidth="1"/>
    <col min="6" max="6" width="24.28515625" customWidth="1"/>
    <col min="7" max="7" width="18.28515625" customWidth="1"/>
    <col min="8" max="8" width="34.7109375" customWidth="1"/>
    <col min="9" max="9" width="29.28515625" customWidth="1"/>
    <col min="11" max="11" width="29.5703125" customWidth="1"/>
    <col min="12" max="12" width="29.28515625" customWidth="1"/>
    <col min="14" max="14" width="39.42578125" customWidth="1"/>
    <col min="18" max="18" width="16.7109375" customWidth="1"/>
  </cols>
  <sheetData>
    <row r="1" spans="3:14" ht="15.75" x14ac:dyDescent="0.25">
      <c r="C1" s="5"/>
      <c r="D1" s="5"/>
      <c r="H1" s="31" t="s">
        <v>0</v>
      </c>
      <c r="I1" s="11" t="s">
        <v>5</v>
      </c>
      <c r="M1" s="6"/>
      <c r="N1" s="6"/>
    </row>
    <row r="2" spans="3:14" x14ac:dyDescent="0.25">
      <c r="C2" s="5"/>
      <c r="D2" s="6"/>
      <c r="G2" t="s">
        <v>1</v>
      </c>
      <c r="H2" t="s">
        <v>2</v>
      </c>
      <c r="I2" t="s">
        <v>3</v>
      </c>
      <c r="M2" s="6"/>
      <c r="N2" s="6"/>
    </row>
    <row r="3" spans="3:14" x14ac:dyDescent="0.25">
      <c r="C3" s="6"/>
      <c r="D3" s="6"/>
      <c r="M3" s="6"/>
      <c r="N3" s="6"/>
    </row>
    <row r="4" spans="3:14" x14ac:dyDescent="0.25">
      <c r="C4" s="6"/>
      <c r="D4" s="6"/>
      <c r="F4" t="s">
        <v>46</v>
      </c>
      <c r="G4">
        <v>-1.5</v>
      </c>
      <c r="H4">
        <v>-2</v>
      </c>
      <c r="I4">
        <v>-3</v>
      </c>
      <c r="M4" s="6"/>
      <c r="N4" s="6"/>
    </row>
    <row r="5" spans="3:14" ht="15.75" thickBot="1" x14ac:dyDescent="0.3">
      <c r="C5" s="6"/>
      <c r="D5" s="6"/>
      <c r="M5" s="6"/>
      <c r="N5" s="6"/>
    </row>
    <row r="6" spans="3:14" x14ac:dyDescent="0.25">
      <c r="C6" s="6"/>
      <c r="D6" s="6"/>
      <c r="F6" s="32"/>
      <c r="G6" s="33" t="s">
        <v>1</v>
      </c>
      <c r="H6" s="33" t="s">
        <v>2</v>
      </c>
      <c r="I6" s="33" t="s">
        <v>3</v>
      </c>
      <c r="J6" s="33"/>
      <c r="K6" s="34" t="s">
        <v>45</v>
      </c>
      <c r="M6" s="6"/>
      <c r="N6" s="6"/>
    </row>
    <row r="7" spans="3:14" x14ac:dyDescent="0.25">
      <c r="C7" s="6"/>
      <c r="D7" s="6"/>
      <c r="F7" s="35" t="s">
        <v>4</v>
      </c>
      <c r="G7" s="1"/>
      <c r="H7" s="1"/>
      <c r="I7" s="1"/>
      <c r="J7" s="1"/>
      <c r="K7" s="36"/>
      <c r="M7" s="6"/>
      <c r="N7" s="6"/>
    </row>
    <row r="8" spans="3:14" x14ac:dyDescent="0.25">
      <c r="F8" s="35">
        <v>1</v>
      </c>
      <c r="G8" s="1">
        <v>25</v>
      </c>
      <c r="H8" s="1">
        <v>18</v>
      </c>
      <c r="I8" s="1">
        <v>22</v>
      </c>
      <c r="J8" s="1"/>
      <c r="K8" s="36">
        <v>22000</v>
      </c>
      <c r="M8" s="6"/>
      <c r="N8" s="6"/>
    </row>
    <row r="9" spans="3:14" x14ac:dyDescent="0.25">
      <c r="F9" s="35">
        <v>2</v>
      </c>
      <c r="G9" s="1">
        <v>27</v>
      </c>
      <c r="H9" s="1">
        <v>59</v>
      </c>
      <c r="I9" s="1">
        <v>30</v>
      </c>
      <c r="J9" s="1"/>
      <c r="K9" s="36">
        <v>45222</v>
      </c>
      <c r="M9" s="6"/>
      <c r="N9" s="6"/>
    </row>
    <row r="10" spans="3:14" x14ac:dyDescent="0.25">
      <c r="F10" s="35">
        <v>3</v>
      </c>
      <c r="G10" s="1">
        <v>33</v>
      </c>
      <c r="H10" s="1">
        <v>40</v>
      </c>
      <c r="I10" s="1">
        <v>69</v>
      </c>
      <c r="J10" s="1"/>
      <c r="K10" s="36">
        <v>31758</v>
      </c>
      <c r="M10" s="6"/>
      <c r="N10" s="6"/>
    </row>
    <row r="11" spans="3:14" x14ac:dyDescent="0.25">
      <c r="F11" s="35">
        <v>4</v>
      </c>
      <c r="G11" s="1">
        <v>46</v>
      </c>
      <c r="H11" s="1">
        <v>50</v>
      </c>
      <c r="I11" s="1">
        <v>50</v>
      </c>
      <c r="J11" s="1"/>
      <c r="K11" s="36">
        <v>35061</v>
      </c>
      <c r="M11" s="6"/>
      <c r="N11" s="6"/>
    </row>
    <row r="12" spans="3:14" x14ac:dyDescent="0.25">
      <c r="F12" s="35">
        <v>5</v>
      </c>
      <c r="G12" s="1">
        <v>40</v>
      </c>
      <c r="H12" s="1">
        <v>65</v>
      </c>
      <c r="I12" s="1">
        <v>40</v>
      </c>
      <c r="J12" s="1"/>
      <c r="K12" s="36">
        <v>22781</v>
      </c>
      <c r="M12" s="6"/>
      <c r="N12" s="6"/>
    </row>
    <row r="13" spans="3:14" x14ac:dyDescent="0.25">
      <c r="F13" s="35">
        <v>6</v>
      </c>
      <c r="G13" s="1">
        <v>48</v>
      </c>
      <c r="H13" s="1">
        <v>44</v>
      </c>
      <c r="I13" s="1">
        <v>26</v>
      </c>
      <c r="J13" s="1"/>
      <c r="K13" s="36">
        <v>31827</v>
      </c>
      <c r="M13" s="6"/>
      <c r="N13" s="6"/>
    </row>
    <row r="14" spans="3:14" x14ac:dyDescent="0.25">
      <c r="F14" s="35">
        <v>7</v>
      </c>
      <c r="G14" s="1">
        <v>30</v>
      </c>
      <c r="H14" s="1">
        <v>59</v>
      </c>
      <c r="I14" s="1">
        <v>100</v>
      </c>
      <c r="J14" s="1"/>
      <c r="K14" s="36">
        <v>49808</v>
      </c>
      <c r="M14" s="6"/>
      <c r="N14" s="6"/>
    </row>
    <row r="15" spans="3:14" x14ac:dyDescent="0.25">
      <c r="F15" s="35">
        <v>8</v>
      </c>
      <c r="G15" s="1">
        <v>44</v>
      </c>
      <c r="H15" s="1">
        <v>63</v>
      </c>
      <c r="I15" s="1">
        <v>33</v>
      </c>
      <c r="J15" s="1"/>
      <c r="K15" s="36">
        <v>40680</v>
      </c>
      <c r="M15" s="6"/>
      <c r="N15" s="6"/>
    </row>
    <row r="16" spans="3:14" x14ac:dyDescent="0.25">
      <c r="F16" s="35">
        <v>9</v>
      </c>
      <c r="G16" s="1">
        <v>27</v>
      </c>
      <c r="H16" s="1">
        <v>52</v>
      </c>
      <c r="I16" s="1">
        <v>82</v>
      </c>
      <c r="J16" s="1"/>
      <c r="K16" s="36">
        <v>33343</v>
      </c>
      <c r="M16" s="6"/>
      <c r="N16" s="6"/>
    </row>
    <row r="17" spans="6:11" x14ac:dyDescent="0.25">
      <c r="F17" s="35">
        <v>10</v>
      </c>
      <c r="G17" s="1">
        <v>28</v>
      </c>
      <c r="H17" s="1">
        <v>59</v>
      </c>
      <c r="I17" s="1">
        <v>65</v>
      </c>
      <c r="J17" s="1"/>
      <c r="K17" s="36">
        <v>44173</v>
      </c>
    </row>
    <row r="18" spans="6:11" x14ac:dyDescent="0.25">
      <c r="F18" s="35">
        <v>11</v>
      </c>
      <c r="G18" s="1">
        <v>35</v>
      </c>
      <c r="H18" s="1">
        <v>59</v>
      </c>
      <c r="I18" s="1">
        <v>49</v>
      </c>
      <c r="J18" s="1"/>
      <c r="K18" s="36">
        <v>27018</v>
      </c>
    </row>
    <row r="19" spans="6:11" x14ac:dyDescent="0.25">
      <c r="F19" s="35">
        <v>12</v>
      </c>
      <c r="G19" s="1">
        <v>47</v>
      </c>
      <c r="H19" s="1">
        <v>33</v>
      </c>
      <c r="I19" s="1">
        <v>80</v>
      </c>
      <c r="J19" s="1"/>
      <c r="K19" s="36">
        <v>29244</v>
      </c>
    </row>
    <row r="20" spans="6:11" x14ac:dyDescent="0.25">
      <c r="F20" s="35">
        <v>13</v>
      </c>
      <c r="G20" s="1">
        <v>43</v>
      </c>
      <c r="H20" s="1">
        <v>71</v>
      </c>
      <c r="I20" s="1">
        <v>92</v>
      </c>
      <c r="J20" s="1"/>
      <c r="K20" s="36">
        <v>49702</v>
      </c>
    </row>
    <row r="21" spans="6:11" x14ac:dyDescent="0.25">
      <c r="F21" s="35">
        <v>14</v>
      </c>
      <c r="G21" s="1">
        <v>34</v>
      </c>
      <c r="H21" s="1">
        <v>51</v>
      </c>
      <c r="I21" s="1">
        <v>65</v>
      </c>
      <c r="J21" s="1"/>
      <c r="K21" s="36">
        <v>47053</v>
      </c>
    </row>
    <row r="22" spans="6:11" x14ac:dyDescent="0.25">
      <c r="F22" s="35">
        <v>15</v>
      </c>
      <c r="G22" s="1">
        <v>46</v>
      </c>
      <c r="H22" s="1">
        <v>68</v>
      </c>
      <c r="I22" s="1">
        <v>75</v>
      </c>
      <c r="J22" s="1"/>
      <c r="K22" s="36">
        <v>22445</v>
      </c>
    </row>
    <row r="23" spans="6:11" x14ac:dyDescent="0.25">
      <c r="F23" s="35">
        <v>16</v>
      </c>
      <c r="G23" s="1">
        <v>40</v>
      </c>
      <c r="H23" s="1">
        <v>70</v>
      </c>
      <c r="I23" s="1">
        <v>82</v>
      </c>
      <c r="J23" s="1"/>
      <c r="K23" s="36">
        <v>31140</v>
      </c>
    </row>
    <row r="24" spans="6:11" x14ac:dyDescent="0.25">
      <c r="F24" s="35">
        <v>17</v>
      </c>
      <c r="G24" s="1">
        <v>47</v>
      </c>
      <c r="H24" s="1">
        <v>61</v>
      </c>
      <c r="I24" s="1">
        <v>66</v>
      </c>
      <c r="J24" s="1"/>
      <c r="K24" s="36">
        <v>32428</v>
      </c>
    </row>
    <row r="25" spans="6:11" x14ac:dyDescent="0.25">
      <c r="F25" s="35">
        <v>18</v>
      </c>
      <c r="G25" s="1">
        <v>35</v>
      </c>
      <c r="H25" s="1">
        <v>38</v>
      </c>
      <c r="I25" s="1">
        <v>63</v>
      </c>
      <c r="J25" s="1"/>
      <c r="K25" s="36">
        <v>29891</v>
      </c>
    </row>
    <row r="26" spans="6:11" x14ac:dyDescent="0.25">
      <c r="F26" s="35">
        <v>19</v>
      </c>
      <c r="G26" s="1">
        <v>30</v>
      </c>
      <c r="H26" s="1">
        <v>66</v>
      </c>
      <c r="I26" s="1">
        <v>96</v>
      </c>
      <c r="J26" s="1"/>
      <c r="K26" s="36">
        <v>50388</v>
      </c>
    </row>
    <row r="27" spans="6:11" x14ac:dyDescent="0.25">
      <c r="F27" s="35">
        <v>20</v>
      </c>
      <c r="G27" s="1">
        <v>25</v>
      </c>
      <c r="H27" s="1">
        <v>33</v>
      </c>
      <c r="I27" s="1">
        <v>56</v>
      </c>
      <c r="J27" s="1"/>
      <c r="K27" s="36">
        <v>38219</v>
      </c>
    </row>
    <row r="28" spans="6:11" x14ac:dyDescent="0.25">
      <c r="F28" s="35">
        <v>21</v>
      </c>
      <c r="G28" s="1">
        <v>44</v>
      </c>
      <c r="H28" s="1">
        <v>58</v>
      </c>
      <c r="I28" s="1">
        <v>31</v>
      </c>
      <c r="J28" s="1"/>
      <c r="K28" s="36">
        <v>33448</v>
      </c>
    </row>
    <row r="29" spans="6:11" x14ac:dyDescent="0.25">
      <c r="F29" s="35">
        <v>22</v>
      </c>
      <c r="G29" s="1">
        <v>26</v>
      </c>
      <c r="H29" s="1">
        <v>51</v>
      </c>
      <c r="I29" s="1">
        <v>38</v>
      </c>
      <c r="J29" s="1"/>
      <c r="K29" s="36">
        <v>48180</v>
      </c>
    </row>
    <row r="30" spans="6:11" x14ac:dyDescent="0.25">
      <c r="F30" s="35">
        <v>23</v>
      </c>
      <c r="G30" s="1">
        <v>36</v>
      </c>
      <c r="H30" s="1">
        <v>64</v>
      </c>
      <c r="I30" s="1">
        <v>32</v>
      </c>
      <c r="J30" s="1"/>
      <c r="K30" s="36">
        <v>43740</v>
      </c>
    </row>
    <row r="31" spans="6:11" x14ac:dyDescent="0.25">
      <c r="F31" s="35">
        <v>24</v>
      </c>
      <c r="G31" s="1">
        <v>36</v>
      </c>
      <c r="H31" s="1">
        <v>62</v>
      </c>
      <c r="I31" s="1">
        <v>72</v>
      </c>
      <c r="J31" s="1"/>
      <c r="K31" s="36">
        <v>35394</v>
      </c>
    </row>
    <row r="32" spans="6:11" x14ac:dyDescent="0.25">
      <c r="F32" s="35">
        <v>25</v>
      </c>
      <c r="G32" s="1">
        <v>43</v>
      </c>
      <c r="H32" s="1">
        <v>45</v>
      </c>
      <c r="I32" s="1">
        <v>62</v>
      </c>
      <c r="J32" s="1"/>
      <c r="K32" s="36">
        <v>27519</v>
      </c>
    </row>
    <row r="33" spans="6:11" x14ac:dyDescent="0.25">
      <c r="F33" s="35">
        <v>26</v>
      </c>
      <c r="G33" s="1">
        <v>48</v>
      </c>
      <c r="H33" s="1">
        <v>48</v>
      </c>
      <c r="I33" s="1">
        <v>85</v>
      </c>
      <c r="J33" s="1"/>
      <c r="K33" s="36">
        <v>33657</v>
      </c>
    </row>
    <row r="34" spans="6:11" x14ac:dyDescent="0.25">
      <c r="F34" s="35">
        <v>27</v>
      </c>
      <c r="G34" s="1">
        <v>35</v>
      </c>
      <c r="H34" s="1">
        <v>52</v>
      </c>
      <c r="I34" s="1">
        <v>78</v>
      </c>
      <c r="J34" s="1"/>
      <c r="K34" s="36">
        <v>48517</v>
      </c>
    </row>
    <row r="35" spans="6:11" x14ac:dyDescent="0.25">
      <c r="F35" s="35">
        <v>28</v>
      </c>
      <c r="G35" s="1">
        <v>32</v>
      </c>
      <c r="H35" s="1">
        <v>71</v>
      </c>
      <c r="I35" s="1">
        <v>31</v>
      </c>
      <c r="J35" s="1"/>
      <c r="K35" s="36">
        <v>38047</v>
      </c>
    </row>
    <row r="36" spans="6:11" x14ac:dyDescent="0.25">
      <c r="F36" s="35">
        <v>29</v>
      </c>
      <c r="G36" s="1">
        <v>28</v>
      </c>
      <c r="H36" s="1">
        <v>52</v>
      </c>
      <c r="I36" s="1">
        <v>91</v>
      </c>
      <c r="J36" s="1"/>
      <c r="K36" s="36">
        <v>23963</v>
      </c>
    </row>
    <row r="37" spans="6:11" x14ac:dyDescent="0.25">
      <c r="F37" s="35">
        <v>30</v>
      </c>
      <c r="G37" s="1">
        <v>28</v>
      </c>
      <c r="H37" s="1">
        <v>44</v>
      </c>
      <c r="I37" s="1">
        <v>80</v>
      </c>
      <c r="J37" s="1"/>
      <c r="K37" s="36">
        <v>46463</v>
      </c>
    </row>
    <row r="38" spans="6:11" x14ac:dyDescent="0.25">
      <c r="F38" s="35">
        <v>31</v>
      </c>
      <c r="G38" s="1">
        <v>28</v>
      </c>
      <c r="H38" s="1">
        <v>36</v>
      </c>
      <c r="I38" s="1">
        <v>70</v>
      </c>
      <c r="J38" s="1"/>
      <c r="K38" s="36">
        <v>30271</v>
      </c>
    </row>
    <row r="39" spans="6:11" x14ac:dyDescent="0.25">
      <c r="F39" s="35">
        <v>32</v>
      </c>
      <c r="G39" s="1">
        <v>48</v>
      </c>
      <c r="H39" s="1">
        <v>46</v>
      </c>
      <c r="I39" s="1">
        <v>27</v>
      </c>
      <c r="J39" s="1"/>
      <c r="K39" s="36">
        <v>31163</v>
      </c>
    </row>
    <row r="40" spans="6:11" x14ac:dyDescent="0.25">
      <c r="F40" s="35">
        <v>33</v>
      </c>
      <c r="G40" s="1">
        <v>37</v>
      </c>
      <c r="H40" s="1">
        <v>38</v>
      </c>
      <c r="I40" s="1">
        <v>51</v>
      </c>
      <c r="J40" s="1"/>
      <c r="K40" s="36">
        <v>41641</v>
      </c>
    </row>
    <row r="41" spans="6:11" x14ac:dyDescent="0.25">
      <c r="F41" s="35">
        <v>34</v>
      </c>
      <c r="G41" s="1">
        <v>38</v>
      </c>
      <c r="H41" s="1">
        <v>60</v>
      </c>
      <c r="I41" s="1">
        <v>61</v>
      </c>
      <c r="J41" s="1"/>
      <c r="K41" s="36">
        <v>47715</v>
      </c>
    </row>
    <row r="42" spans="6:11" x14ac:dyDescent="0.25">
      <c r="F42" s="35">
        <v>35</v>
      </c>
      <c r="G42" s="1">
        <v>28</v>
      </c>
      <c r="H42" s="1">
        <v>73</v>
      </c>
      <c r="I42" s="1">
        <v>29</v>
      </c>
      <c r="J42" s="1"/>
      <c r="K42" s="36">
        <v>49235</v>
      </c>
    </row>
    <row r="43" spans="6:11" x14ac:dyDescent="0.25">
      <c r="F43" s="35">
        <v>36</v>
      </c>
      <c r="G43" s="1">
        <v>31</v>
      </c>
      <c r="H43" s="1">
        <v>51</v>
      </c>
      <c r="I43" s="1">
        <v>54</v>
      </c>
      <c r="J43" s="1"/>
      <c r="K43" s="36">
        <v>44273</v>
      </c>
    </row>
    <row r="44" spans="6:11" x14ac:dyDescent="0.25">
      <c r="F44" s="35">
        <v>37</v>
      </c>
      <c r="G44" s="1">
        <v>26</v>
      </c>
      <c r="H44" s="1">
        <v>72</v>
      </c>
      <c r="I44" s="1">
        <v>50</v>
      </c>
      <c r="J44" s="1"/>
      <c r="K44" s="36">
        <v>48131</v>
      </c>
    </row>
    <row r="45" spans="6:11" x14ac:dyDescent="0.25">
      <c r="F45" s="35">
        <v>38</v>
      </c>
      <c r="G45" s="1">
        <v>43</v>
      </c>
      <c r="H45" s="1">
        <v>43</v>
      </c>
      <c r="I45" s="1">
        <v>27</v>
      </c>
      <c r="J45" s="1"/>
      <c r="K45" s="36">
        <v>45918</v>
      </c>
    </row>
    <row r="46" spans="6:11" x14ac:dyDescent="0.25">
      <c r="F46" s="35">
        <v>39</v>
      </c>
      <c r="G46" s="1">
        <v>25</v>
      </c>
      <c r="H46" s="1">
        <v>47</v>
      </c>
      <c r="I46" s="1">
        <v>95</v>
      </c>
      <c r="J46" s="1"/>
      <c r="K46" s="36">
        <v>41602</v>
      </c>
    </row>
    <row r="47" spans="6:11" x14ac:dyDescent="0.25">
      <c r="F47" s="35">
        <v>40</v>
      </c>
      <c r="G47" s="1">
        <v>40</v>
      </c>
      <c r="H47" s="1">
        <v>53</v>
      </c>
      <c r="I47" s="1">
        <v>99</v>
      </c>
      <c r="J47" s="1"/>
      <c r="K47" s="36">
        <v>24146</v>
      </c>
    </row>
    <row r="48" spans="6:11" x14ac:dyDescent="0.25">
      <c r="F48" s="35">
        <v>41</v>
      </c>
      <c r="G48" s="1">
        <v>44</v>
      </c>
      <c r="H48" s="1">
        <v>50</v>
      </c>
      <c r="I48" s="1">
        <v>26</v>
      </c>
      <c r="J48" s="1"/>
      <c r="K48" s="36">
        <v>37104</v>
      </c>
    </row>
    <row r="49" spans="6:11" x14ac:dyDescent="0.25">
      <c r="F49" s="35">
        <v>42</v>
      </c>
      <c r="G49" s="1">
        <v>42</v>
      </c>
      <c r="H49" s="1">
        <v>63</v>
      </c>
      <c r="I49" s="1">
        <v>33</v>
      </c>
      <c r="J49" s="1"/>
      <c r="K49" s="36">
        <v>41831</v>
      </c>
    </row>
    <row r="50" spans="6:11" x14ac:dyDescent="0.25">
      <c r="F50" s="35">
        <v>43</v>
      </c>
      <c r="G50" s="1">
        <v>35</v>
      </c>
      <c r="H50" s="1">
        <v>37</v>
      </c>
      <c r="I50" s="1">
        <v>31</v>
      </c>
      <c r="J50" s="1"/>
      <c r="K50" s="36">
        <v>30997</v>
      </c>
    </row>
    <row r="51" spans="6:11" x14ac:dyDescent="0.25">
      <c r="F51" s="35">
        <v>44</v>
      </c>
      <c r="G51" s="1">
        <v>50</v>
      </c>
      <c r="H51" s="1">
        <v>38</v>
      </c>
      <c r="I51" s="1">
        <v>27</v>
      </c>
      <c r="J51" s="1"/>
      <c r="K51" s="36">
        <v>29424</v>
      </c>
    </row>
    <row r="52" spans="6:11" x14ac:dyDescent="0.25">
      <c r="F52" s="35">
        <v>45</v>
      </c>
      <c r="G52" s="1">
        <v>28</v>
      </c>
      <c r="H52" s="1">
        <v>52</v>
      </c>
      <c r="I52" s="1">
        <v>69</v>
      </c>
      <c r="J52" s="1"/>
      <c r="K52" s="36">
        <v>34870</v>
      </c>
    </row>
    <row r="53" spans="6:11" x14ac:dyDescent="0.25">
      <c r="F53" s="35">
        <v>46</v>
      </c>
      <c r="G53" s="1">
        <v>41</v>
      </c>
      <c r="H53" s="1">
        <v>40</v>
      </c>
      <c r="I53" s="1">
        <v>80</v>
      </c>
      <c r="J53" s="1"/>
      <c r="K53" s="36">
        <v>46312</v>
      </c>
    </row>
    <row r="54" spans="6:11" x14ac:dyDescent="0.25">
      <c r="F54" s="35">
        <v>47</v>
      </c>
      <c r="G54" s="1">
        <v>44</v>
      </c>
      <c r="H54" s="1">
        <v>61</v>
      </c>
      <c r="I54" s="1">
        <v>31</v>
      </c>
      <c r="J54" s="1"/>
      <c r="K54" s="36">
        <v>22108</v>
      </c>
    </row>
    <row r="55" spans="6:11" x14ac:dyDescent="0.25">
      <c r="F55" s="35">
        <v>48</v>
      </c>
      <c r="G55" s="1">
        <v>43</v>
      </c>
      <c r="H55" s="1">
        <v>34</v>
      </c>
      <c r="I55" s="1">
        <v>63</v>
      </c>
      <c r="J55" s="1"/>
      <c r="K55" s="36">
        <v>24652</v>
      </c>
    </row>
    <row r="56" spans="6:11" x14ac:dyDescent="0.25">
      <c r="F56" s="35">
        <v>49</v>
      </c>
      <c r="G56" s="1">
        <v>41</v>
      </c>
      <c r="H56" s="1">
        <v>72</v>
      </c>
      <c r="I56" s="1">
        <v>97</v>
      </c>
      <c r="J56" s="1"/>
      <c r="K56" s="36">
        <v>24118</v>
      </c>
    </row>
    <row r="57" spans="6:11" x14ac:dyDescent="0.25">
      <c r="F57" s="35">
        <v>50</v>
      </c>
      <c r="G57" s="1">
        <v>31</v>
      </c>
      <c r="H57" s="1">
        <v>61</v>
      </c>
      <c r="I57" s="1">
        <v>85</v>
      </c>
      <c r="J57" s="1"/>
      <c r="K57" s="36">
        <v>28161</v>
      </c>
    </row>
    <row r="58" spans="6:11" x14ac:dyDescent="0.25">
      <c r="F58" s="35">
        <v>51</v>
      </c>
      <c r="G58" s="1">
        <v>38</v>
      </c>
      <c r="H58" s="1">
        <v>26</v>
      </c>
      <c r="I58" s="1">
        <v>30</v>
      </c>
      <c r="J58" s="1"/>
      <c r="K58" s="36">
        <v>38743</v>
      </c>
    </row>
    <row r="59" spans="6:11" x14ac:dyDescent="0.25">
      <c r="F59" s="35">
        <v>52</v>
      </c>
      <c r="G59" s="1">
        <v>38</v>
      </c>
      <c r="H59" s="1">
        <v>53</v>
      </c>
      <c r="I59" s="1">
        <v>35</v>
      </c>
      <c r="J59" s="1"/>
      <c r="K59" s="36">
        <v>30907</v>
      </c>
    </row>
    <row r="60" spans="6:11" x14ac:dyDescent="0.25">
      <c r="F60" s="35">
        <v>53</v>
      </c>
      <c r="G60" s="1">
        <v>32</v>
      </c>
      <c r="H60" s="1">
        <v>57</v>
      </c>
      <c r="I60" s="1">
        <v>36</v>
      </c>
      <c r="J60" s="1"/>
      <c r="K60" s="36">
        <v>28515</v>
      </c>
    </row>
    <row r="61" spans="6:11" x14ac:dyDescent="0.25">
      <c r="F61" s="35">
        <v>54</v>
      </c>
      <c r="G61" s="1">
        <v>47</v>
      </c>
      <c r="H61" s="1">
        <v>32</v>
      </c>
      <c r="I61" s="1">
        <v>76</v>
      </c>
      <c r="J61" s="1"/>
      <c r="K61" s="36">
        <v>38404</v>
      </c>
    </row>
    <row r="62" spans="6:11" x14ac:dyDescent="0.25">
      <c r="F62" s="35">
        <v>55</v>
      </c>
      <c r="G62" s="1">
        <v>42</v>
      </c>
      <c r="H62" s="1">
        <v>46</v>
      </c>
      <c r="I62" s="1">
        <v>61</v>
      </c>
      <c r="J62" s="1"/>
      <c r="K62" s="36">
        <v>29255</v>
      </c>
    </row>
    <row r="63" spans="6:11" x14ac:dyDescent="0.25">
      <c r="F63" s="35">
        <v>56</v>
      </c>
      <c r="G63" s="1">
        <v>29</v>
      </c>
      <c r="H63" s="1">
        <v>71</v>
      </c>
      <c r="I63" s="1">
        <v>73</v>
      </c>
      <c r="J63" s="1"/>
      <c r="K63" s="36">
        <v>27799</v>
      </c>
    </row>
    <row r="64" spans="6:11" ht="15.75" thickBot="1" x14ac:dyDescent="0.3">
      <c r="F64" s="37">
        <v>57</v>
      </c>
      <c r="G64" s="38">
        <v>36</v>
      </c>
      <c r="H64" s="38">
        <v>74</v>
      </c>
      <c r="I64" s="38">
        <v>91</v>
      </c>
      <c r="J64" s="38"/>
      <c r="K64" s="39">
        <v>31921</v>
      </c>
    </row>
    <row r="73" spans="7:11" x14ac:dyDescent="0.25">
      <c r="G73" s="3"/>
      <c r="H73" s="3"/>
      <c r="I73" s="3"/>
      <c r="J73" s="3"/>
      <c r="K73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50"/>
  <sheetViews>
    <sheetView workbookViewId="0">
      <selection activeCell="D37" sqref="D37"/>
    </sheetView>
  </sheetViews>
  <sheetFormatPr defaultRowHeight="15" x14ac:dyDescent="0.25"/>
  <cols>
    <col min="7" max="7" width="43.5703125" bestFit="1" customWidth="1"/>
  </cols>
  <sheetData>
    <row r="3" spans="4:12" x14ac:dyDescent="0.25">
      <c r="D3" t="s">
        <v>87</v>
      </c>
      <c r="G3" s="105" t="s">
        <v>88</v>
      </c>
      <c r="H3">
        <v>435</v>
      </c>
    </row>
    <row r="4" spans="4:12" x14ac:dyDescent="0.25">
      <c r="G4" s="105" t="s">
        <v>89</v>
      </c>
      <c r="H4" s="106">
        <v>0.04</v>
      </c>
      <c r="I4" t="s">
        <v>90</v>
      </c>
    </row>
    <row r="5" spans="4:12" x14ac:dyDescent="0.25">
      <c r="G5" s="105" t="s">
        <v>91</v>
      </c>
      <c r="H5">
        <v>1.1000000000000001</v>
      </c>
    </row>
    <row r="6" spans="4:12" x14ac:dyDescent="0.25">
      <c r="G6" s="105" t="s">
        <v>92</v>
      </c>
      <c r="H6">
        <v>0.9</v>
      </c>
    </row>
    <row r="7" spans="4:12" x14ac:dyDescent="0.25">
      <c r="G7" s="105" t="s">
        <v>93</v>
      </c>
      <c r="H7" t="s">
        <v>94</v>
      </c>
      <c r="I7">
        <f>(EXP(H4/12)-H6)/(H5-H6)</f>
        <v>0.51669447533437862</v>
      </c>
      <c r="K7" t="s">
        <v>95</v>
      </c>
    </row>
    <row r="8" spans="4:12" x14ac:dyDescent="0.25">
      <c r="G8" s="105"/>
    </row>
    <row r="9" spans="4:12" x14ac:dyDescent="0.25">
      <c r="G9" s="107" t="s">
        <v>96</v>
      </c>
    </row>
    <row r="10" spans="4:12" x14ac:dyDescent="0.25">
      <c r="G10" s="107" t="s">
        <v>97</v>
      </c>
      <c r="H10">
        <f>1*$I$7^2*EXP(-$H$4/6)</f>
        <v>0.26519927921089675</v>
      </c>
      <c r="K10" t="s">
        <v>95</v>
      </c>
    </row>
    <row r="11" spans="4:12" x14ac:dyDescent="0.25">
      <c r="G11" s="107" t="s">
        <v>98</v>
      </c>
      <c r="H11">
        <f>1*2*I7*(1-I7)*EXP(-$H$4/6)</f>
        <v>0.49612404582812863</v>
      </c>
      <c r="K11" t="s">
        <v>95</v>
      </c>
    </row>
    <row r="12" spans="4:12" x14ac:dyDescent="0.25">
      <c r="G12" s="107" t="s">
        <v>99</v>
      </c>
      <c r="H12" s="108">
        <f>1*(1-$I$7)^2*EXP(-$H$4/6)</f>
        <v>0.23203218121600905</v>
      </c>
      <c r="K12" t="s">
        <v>95</v>
      </c>
    </row>
    <row r="13" spans="4:12" x14ac:dyDescent="0.25">
      <c r="K13" t="s">
        <v>100</v>
      </c>
      <c r="L13" t="s">
        <v>101</v>
      </c>
    </row>
    <row r="15" spans="4:12" x14ac:dyDescent="0.25">
      <c r="D15" t="s">
        <v>102</v>
      </c>
    </row>
    <row r="16" spans="4:12" x14ac:dyDescent="0.25">
      <c r="F16" s="109" t="s">
        <v>103</v>
      </c>
    </row>
    <row r="17" spans="6:11" x14ac:dyDescent="0.25">
      <c r="F17" s="109"/>
    </row>
    <row r="18" spans="6:11" x14ac:dyDescent="0.25">
      <c r="F18" s="105" t="s">
        <v>104</v>
      </c>
      <c r="G18" s="110" t="s">
        <v>105</v>
      </c>
      <c r="H18" s="105" t="s">
        <v>106</v>
      </c>
      <c r="I18" s="105"/>
    </row>
    <row r="19" spans="6:11" x14ac:dyDescent="0.25">
      <c r="F19" s="105">
        <v>1</v>
      </c>
      <c r="G19" s="110" t="s">
        <v>97</v>
      </c>
      <c r="H19" s="105">
        <v>0.89500000000000002</v>
      </c>
      <c r="I19" s="105"/>
    </row>
    <row r="20" spans="6:11" x14ac:dyDescent="0.25">
      <c r="F20" s="105">
        <v>2</v>
      </c>
      <c r="G20" s="110" t="s">
        <v>98</v>
      </c>
      <c r="H20" s="105">
        <v>1.004</v>
      </c>
      <c r="I20" s="105"/>
    </row>
    <row r="21" spans="6:11" x14ac:dyDescent="0.25">
      <c r="F21" s="105">
        <v>3</v>
      </c>
      <c r="G21" s="110" t="s">
        <v>99</v>
      </c>
      <c r="H21" s="105">
        <v>1.1890000000000001</v>
      </c>
      <c r="I21" s="105"/>
    </row>
    <row r="23" spans="6:11" x14ac:dyDescent="0.25">
      <c r="G23" t="s">
        <v>107</v>
      </c>
    </row>
    <row r="25" spans="6:11" x14ac:dyDescent="0.25">
      <c r="G25" s="111" t="s">
        <v>97</v>
      </c>
      <c r="H25" s="112">
        <f>$H$3*$H$5*$H$5</f>
        <v>526.35000000000014</v>
      </c>
    </row>
    <row r="26" spans="6:11" x14ac:dyDescent="0.25">
      <c r="G26" s="111" t="s">
        <v>98</v>
      </c>
      <c r="H26" s="112">
        <f>$H$3*$H$5*$H$6</f>
        <v>430.65000000000003</v>
      </c>
    </row>
    <row r="27" spans="6:11" x14ac:dyDescent="0.25">
      <c r="G27" s="111" t="s">
        <v>99</v>
      </c>
      <c r="H27" s="112">
        <f>$H$3*$H$6*$H$6</f>
        <v>352.35</v>
      </c>
      <c r="K27" t="s">
        <v>108</v>
      </c>
    </row>
    <row r="30" spans="6:11" x14ac:dyDescent="0.25">
      <c r="G30" s="111" t="s">
        <v>109</v>
      </c>
    </row>
    <row r="32" spans="6:11" x14ac:dyDescent="0.25">
      <c r="G32" t="s">
        <v>97</v>
      </c>
      <c r="H32">
        <f>H10/H19</f>
        <v>0.2963120438110578</v>
      </c>
    </row>
    <row r="33" spans="5:11" x14ac:dyDescent="0.25">
      <c r="G33" t="s">
        <v>98</v>
      </c>
      <c r="H33">
        <f>H11/H20</f>
        <v>0.4941474560041122</v>
      </c>
    </row>
    <row r="34" spans="5:11" x14ac:dyDescent="0.25">
      <c r="G34" t="s">
        <v>99</v>
      </c>
      <c r="H34">
        <f>1-H32-H33</f>
        <v>0.20954050018483</v>
      </c>
      <c r="K34" t="s">
        <v>108</v>
      </c>
    </row>
    <row r="36" spans="5:11" x14ac:dyDescent="0.25">
      <c r="G36" t="s">
        <v>110</v>
      </c>
      <c r="H36" s="93">
        <f>H25*H32+H26*H33+H27*H34</f>
        <v>442.60004142824613</v>
      </c>
      <c r="K36" t="s">
        <v>95</v>
      </c>
    </row>
    <row r="37" spans="5:11" ht="105" x14ac:dyDescent="0.25">
      <c r="G37" s="4" t="s">
        <v>179</v>
      </c>
      <c r="H37" s="93"/>
    </row>
    <row r="38" spans="5:11" x14ac:dyDescent="0.25">
      <c r="G38" t="s">
        <v>100</v>
      </c>
    </row>
    <row r="39" spans="5:11" x14ac:dyDescent="0.25">
      <c r="G39" t="s">
        <v>111</v>
      </c>
      <c r="H39" s="113">
        <f>(H36/H3)^(1/2)-1</f>
        <v>8.6978534750450365E-3</v>
      </c>
      <c r="K39" t="s">
        <v>95</v>
      </c>
    </row>
    <row r="42" spans="5:11" x14ac:dyDescent="0.25">
      <c r="E42" t="s">
        <v>112</v>
      </c>
    </row>
    <row r="43" spans="5:11" x14ac:dyDescent="0.25">
      <c r="G43" s="105" t="s">
        <v>113</v>
      </c>
      <c r="H43" s="105">
        <v>420</v>
      </c>
    </row>
    <row r="45" spans="5:11" x14ac:dyDescent="0.25">
      <c r="G45" t="s">
        <v>114</v>
      </c>
    </row>
    <row r="46" spans="5:11" x14ac:dyDescent="0.25">
      <c r="G46" t="s">
        <v>97</v>
      </c>
      <c r="H46" s="112">
        <f>MAX($H$43-H25,0)</f>
        <v>0</v>
      </c>
    </row>
    <row r="47" spans="5:11" x14ac:dyDescent="0.25">
      <c r="G47" t="s">
        <v>98</v>
      </c>
      <c r="H47" s="112">
        <f>MAX($H$43-H26,0)</f>
        <v>0</v>
      </c>
    </row>
    <row r="48" spans="5:11" x14ac:dyDescent="0.25">
      <c r="G48" t="s">
        <v>99</v>
      </c>
      <c r="H48" s="112">
        <f>MAX($H$43-H27,0)</f>
        <v>67.649999999999977</v>
      </c>
      <c r="K48" t="s">
        <v>95</v>
      </c>
    </row>
    <row r="50" spans="7:11" x14ac:dyDescent="0.25">
      <c r="G50" t="s">
        <v>115</v>
      </c>
      <c r="H50" s="112">
        <f>H46*H10+H47*H11+H48*H12</f>
        <v>15.696977059263007</v>
      </c>
      <c r="K50" t="s">
        <v>95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H14" sqref="H14"/>
    </sheetView>
  </sheetViews>
  <sheetFormatPr defaultRowHeight="15" x14ac:dyDescent="0.25"/>
  <cols>
    <col min="10" max="10" width="37.140625" bestFit="1" customWidth="1"/>
  </cols>
  <sheetData>
    <row r="2" spans="1:8" x14ac:dyDescent="0.25">
      <c r="A2" t="s">
        <v>116</v>
      </c>
      <c r="B2" s="105">
        <v>2</v>
      </c>
      <c r="C2" t="s">
        <v>4</v>
      </c>
    </row>
    <row r="3" spans="1:8" x14ac:dyDescent="0.25">
      <c r="A3" t="s">
        <v>117</v>
      </c>
      <c r="B3" s="105">
        <v>435</v>
      </c>
      <c r="D3" s="111"/>
      <c r="E3" s="111"/>
      <c r="F3" s="111"/>
      <c r="G3" s="111"/>
    </row>
    <row r="4" spans="1:8" x14ac:dyDescent="0.25">
      <c r="A4" t="s">
        <v>118</v>
      </c>
      <c r="B4" s="105">
        <v>420</v>
      </c>
      <c r="D4" s="111"/>
      <c r="E4" s="111"/>
      <c r="F4" s="111"/>
      <c r="G4" s="111"/>
    </row>
    <row r="5" spans="1:8" x14ac:dyDescent="0.25">
      <c r="A5" t="s">
        <v>94</v>
      </c>
      <c r="B5" s="114">
        <v>0</v>
      </c>
      <c r="D5" s="111"/>
      <c r="E5" s="111"/>
      <c r="F5" s="111"/>
      <c r="G5" s="111"/>
    </row>
    <row r="6" spans="1:8" x14ac:dyDescent="0.25">
      <c r="A6" t="s">
        <v>119</v>
      </c>
      <c r="B6" s="114">
        <v>0.04</v>
      </c>
      <c r="C6" t="s">
        <v>120</v>
      </c>
      <c r="D6" s="111"/>
      <c r="E6" s="111"/>
      <c r="F6" s="111"/>
      <c r="G6" s="111"/>
    </row>
    <row r="7" spans="1:8" x14ac:dyDescent="0.25">
      <c r="A7" t="s">
        <v>121</v>
      </c>
      <c r="B7" s="105">
        <f>B2/12</f>
        <v>0.16666666666666666</v>
      </c>
      <c r="C7" t="s">
        <v>122</v>
      </c>
      <c r="D7" s="111"/>
      <c r="E7" s="111"/>
      <c r="F7" s="111" t="s">
        <v>100</v>
      </c>
      <c r="G7" s="111"/>
    </row>
    <row r="8" spans="1:8" x14ac:dyDescent="0.25">
      <c r="B8" s="107"/>
      <c r="D8" s="111"/>
      <c r="E8" s="111" t="s">
        <v>95</v>
      </c>
      <c r="F8" s="111"/>
      <c r="G8" s="111"/>
    </row>
    <row r="9" spans="1:8" x14ac:dyDescent="0.25">
      <c r="B9" s="107"/>
      <c r="D9" s="111"/>
      <c r="E9" s="111"/>
      <c r="F9" s="111"/>
      <c r="G9" s="111"/>
    </row>
    <row r="10" spans="1:8" x14ac:dyDescent="0.25">
      <c r="D10" s="137" t="s">
        <v>123</v>
      </c>
      <c r="E10" s="137"/>
      <c r="F10" s="137"/>
      <c r="G10" s="111"/>
    </row>
    <row r="11" spans="1:8" x14ac:dyDescent="0.25">
      <c r="D11" s="111"/>
      <c r="E11" s="111"/>
      <c r="F11" s="111"/>
      <c r="G11" s="111"/>
    </row>
    <row r="12" spans="1:8" x14ac:dyDescent="0.25">
      <c r="D12" s="111">
        <v>1</v>
      </c>
      <c r="E12" s="111">
        <v>1</v>
      </c>
      <c r="F12" s="111">
        <v>1</v>
      </c>
      <c r="G12" s="111">
        <v>1</v>
      </c>
      <c r="H12" t="s">
        <v>124</v>
      </c>
    </row>
    <row r="13" spans="1:8" x14ac:dyDescent="0.25">
      <c r="D13" s="115" t="s">
        <v>125</v>
      </c>
      <c r="E13" s="115" t="s">
        <v>126</v>
      </c>
      <c r="F13" s="115" t="s">
        <v>127</v>
      </c>
      <c r="G13" s="115" t="s">
        <v>128</v>
      </c>
    </row>
    <row r="14" spans="1:8" x14ac:dyDescent="0.25">
      <c r="D14" s="116">
        <v>0.34</v>
      </c>
      <c r="E14" s="117">
        <f t="shared" ref="E14:E21" si="0">(LN($B$3/$B$4)+($B$6-$B$5+0.5*D14*D14)*$B$7)/(D14*SQRT($B$7))</f>
        <v>0.37024267866410665</v>
      </c>
      <c r="F14" s="117">
        <f t="shared" ref="F14:F21" si="1">E14-D14*SQRT($B$7)</f>
        <v>0.23143825990639322</v>
      </c>
      <c r="G14" s="118">
        <f t="shared" ref="G14:G21" si="2">$B$4*EXP(-$B$6*$B$7)*NORMSDIST(-F14)-$B$3*EXP(-$B$5*$B$7)*NORMSDIST(-E14)</f>
        <v>15.738287122762102</v>
      </c>
      <c r="H14" t="s">
        <v>129</v>
      </c>
    </row>
    <row r="15" spans="1:8" x14ac:dyDescent="0.25">
      <c r="D15" s="116">
        <v>0.33</v>
      </c>
      <c r="E15" s="117">
        <f t="shared" si="0"/>
        <v>0.37731781506891615</v>
      </c>
      <c r="F15" s="117">
        <f t="shared" si="1"/>
        <v>0.24259587921584136</v>
      </c>
      <c r="G15" s="119">
        <f t="shared" si="2"/>
        <v>15.07760542442557</v>
      </c>
      <c r="H15" s="120"/>
    </row>
    <row r="16" spans="1:8" x14ac:dyDescent="0.25">
      <c r="D16" s="116">
        <v>0.32</v>
      </c>
      <c r="E16" s="117">
        <f t="shared" si="0"/>
        <v>0.38496272508979612</v>
      </c>
      <c r="F16" s="117">
        <f t="shared" si="1"/>
        <v>0.25432327214135997</v>
      </c>
      <c r="G16" s="119">
        <f t="shared" si="2"/>
        <v>14.418755514538503</v>
      </c>
    </row>
    <row r="17" spans="3:8" x14ac:dyDescent="0.25">
      <c r="D17" s="116">
        <v>0.31</v>
      </c>
      <c r="E17" s="117">
        <f t="shared" si="0"/>
        <v>0.39323254810894709</v>
      </c>
      <c r="F17" s="117">
        <f t="shared" si="1"/>
        <v>0.26667557806514952</v>
      </c>
      <c r="G17" s="119">
        <f t="shared" si="2"/>
        <v>13.761920294654544</v>
      </c>
    </row>
    <row r="18" spans="3:8" x14ac:dyDescent="0.25">
      <c r="D18" s="116">
        <v>0.28999999999999998</v>
      </c>
      <c r="E18" s="117">
        <f t="shared" si="0"/>
        <v>0.41190551783100149</v>
      </c>
      <c r="F18" s="117">
        <f t="shared" si="1"/>
        <v>0.2935135135964812</v>
      </c>
      <c r="G18" s="119">
        <f t="shared" si="2"/>
        <v>12.455143748545879</v>
      </c>
    </row>
    <row r="19" spans="3:8" x14ac:dyDescent="0.25">
      <c r="D19" s="116">
        <v>0.28299999999999997</v>
      </c>
      <c r="E19" s="117">
        <f t="shared" si="0"/>
        <v>0.41920091245394048</v>
      </c>
      <c r="F19" s="117">
        <f t="shared" si="1"/>
        <v>0.30366664625266726</v>
      </c>
      <c r="G19" s="118">
        <f t="shared" si="2"/>
        <v>12.000229651515667</v>
      </c>
      <c r="H19" t="s">
        <v>130</v>
      </c>
    </row>
    <row r="20" spans="3:8" x14ac:dyDescent="0.25">
      <c r="D20" s="116">
        <v>0.28000000000000003</v>
      </c>
      <c r="E20" s="117">
        <f t="shared" si="0"/>
        <v>0.42246104479702995</v>
      </c>
      <c r="F20" s="117">
        <f t="shared" si="1"/>
        <v>0.3081515234671483</v>
      </c>
      <c r="G20" s="119">
        <f t="shared" si="2"/>
        <v>11.805698322280932</v>
      </c>
    </row>
    <row r="21" spans="3:8" x14ac:dyDescent="0.25">
      <c r="D21" s="116">
        <v>0.27</v>
      </c>
      <c r="E21" s="117">
        <f t="shared" si="0"/>
        <v>0.43394966571997329</v>
      </c>
      <c r="F21" s="117">
        <f t="shared" si="1"/>
        <v>0.32372262729473028</v>
      </c>
      <c r="G21" s="119">
        <f t="shared" si="2"/>
        <v>11.159269196828774</v>
      </c>
    </row>
    <row r="22" spans="3:8" x14ac:dyDescent="0.25">
      <c r="D22" s="121"/>
      <c r="E22" s="122"/>
      <c r="F22" s="122"/>
      <c r="G22" s="123"/>
    </row>
    <row r="23" spans="3:8" x14ac:dyDescent="0.25">
      <c r="D23" s="121"/>
      <c r="E23" s="122"/>
      <c r="F23" s="122"/>
      <c r="G23" s="123"/>
    </row>
    <row r="24" spans="3:8" x14ac:dyDescent="0.25">
      <c r="D24" s="111"/>
      <c r="E24" s="111"/>
      <c r="F24" s="111"/>
      <c r="G24" s="111"/>
    </row>
    <row r="25" spans="3:8" x14ac:dyDescent="0.25">
      <c r="C25" s="124" t="s">
        <v>131</v>
      </c>
      <c r="D25" s="116">
        <f>D19</f>
        <v>0.28299999999999997</v>
      </c>
      <c r="E25" s="125"/>
      <c r="F25" s="111" t="s">
        <v>132</v>
      </c>
      <c r="G25" s="111"/>
    </row>
    <row r="26" spans="3:8" x14ac:dyDescent="0.25">
      <c r="D26" s="111"/>
      <c r="E26" s="111"/>
      <c r="F26" s="111" t="s">
        <v>133</v>
      </c>
      <c r="G26" s="111"/>
    </row>
    <row r="27" spans="3:8" x14ac:dyDescent="0.25">
      <c r="D27" s="111"/>
      <c r="E27" s="111"/>
      <c r="F27" s="111"/>
      <c r="G27" s="111"/>
    </row>
    <row r="28" spans="3:8" x14ac:dyDescent="0.25">
      <c r="D28" s="111"/>
      <c r="E28" s="111"/>
      <c r="F28" s="111"/>
      <c r="G28" s="111"/>
    </row>
  </sheetData>
  <mergeCells count="1">
    <mergeCell ref="D10:F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0"/>
  <sheetViews>
    <sheetView workbookViewId="0">
      <selection activeCell="F16" sqref="F16"/>
    </sheetView>
  </sheetViews>
  <sheetFormatPr defaultRowHeight="15" x14ac:dyDescent="0.25"/>
  <cols>
    <col min="3" max="3" width="42.140625" bestFit="1" customWidth="1"/>
    <col min="4" max="4" width="11.7109375" customWidth="1"/>
    <col min="6" max="6" width="13.28515625" customWidth="1"/>
  </cols>
  <sheetData>
    <row r="5" spans="3:7" x14ac:dyDescent="0.25">
      <c r="C5" t="s">
        <v>134</v>
      </c>
      <c r="D5" s="112">
        <v>15.696977059263007</v>
      </c>
    </row>
    <row r="6" spans="3:7" x14ac:dyDescent="0.25">
      <c r="C6" t="s">
        <v>135</v>
      </c>
      <c r="D6" s="112">
        <v>12.000229651515667</v>
      </c>
    </row>
    <row r="7" spans="3:7" x14ac:dyDescent="0.25">
      <c r="C7" t="s">
        <v>136</v>
      </c>
      <c r="D7" s="126">
        <v>0.34</v>
      </c>
      <c r="E7" t="s">
        <v>137</v>
      </c>
    </row>
    <row r="8" spans="3:7" x14ac:dyDescent="0.25">
      <c r="C8" t="s">
        <v>138</v>
      </c>
      <c r="D8" s="126">
        <v>0.28299999999999997</v>
      </c>
      <c r="E8" t="s">
        <v>137</v>
      </c>
      <c r="G8" t="s">
        <v>95</v>
      </c>
    </row>
    <row r="9" spans="3:7" x14ac:dyDescent="0.25">
      <c r="C9" s="112"/>
      <c r="D9" s="126"/>
    </row>
    <row r="11" spans="3:7" x14ac:dyDescent="0.25">
      <c r="C11" t="s">
        <v>139</v>
      </c>
      <c r="D11" s="127">
        <f>(D5-D6)/(D7-D8)</f>
        <v>64.855217679777837</v>
      </c>
      <c r="G11" t="s">
        <v>140</v>
      </c>
    </row>
    <row r="17" spans="3:9" x14ac:dyDescent="0.25">
      <c r="C17" t="s">
        <v>100</v>
      </c>
    </row>
    <row r="19" spans="3:9" x14ac:dyDescent="0.25">
      <c r="C19" t="s">
        <v>141</v>
      </c>
    </row>
    <row r="20" spans="3:9" x14ac:dyDescent="0.25">
      <c r="C20" t="s">
        <v>142</v>
      </c>
      <c r="G20" s="120">
        <f>1%*D11</f>
        <v>0.64855217679777843</v>
      </c>
      <c r="H20" t="s">
        <v>143</v>
      </c>
      <c r="I20" t="s">
        <v>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workbookViewId="0">
      <selection activeCell="C11" sqref="C11"/>
    </sheetView>
  </sheetViews>
  <sheetFormatPr defaultRowHeight="15" x14ac:dyDescent="0.25"/>
  <cols>
    <col min="2" max="2" width="25.7109375" bestFit="1" customWidth="1"/>
  </cols>
  <sheetData>
    <row r="3" spans="2:4" x14ac:dyDescent="0.25">
      <c r="B3" s="11" t="s">
        <v>144</v>
      </c>
    </row>
    <row r="5" spans="2:4" x14ac:dyDescent="0.25">
      <c r="B5" t="s">
        <v>145</v>
      </c>
    </row>
    <row r="7" spans="2:4" x14ac:dyDescent="0.25">
      <c r="B7" t="s">
        <v>146</v>
      </c>
      <c r="C7" s="114">
        <v>0.04</v>
      </c>
    </row>
    <row r="8" spans="2:4" x14ac:dyDescent="0.25">
      <c r="B8" t="s">
        <v>147</v>
      </c>
      <c r="C8" s="105">
        <v>0</v>
      </c>
    </row>
    <row r="9" spans="2:4" x14ac:dyDescent="0.25">
      <c r="B9" t="s">
        <v>148</v>
      </c>
      <c r="C9" s="105">
        <v>12</v>
      </c>
    </row>
    <row r="10" spans="2:4" x14ac:dyDescent="0.25">
      <c r="B10" t="s">
        <v>149</v>
      </c>
      <c r="C10" s="105">
        <v>435</v>
      </c>
    </row>
    <row r="11" spans="2:4" x14ac:dyDescent="0.25">
      <c r="B11" t="s">
        <v>150</v>
      </c>
      <c r="C11" s="127">
        <f>420*EXP(-C7*C12/12)</f>
        <v>417.20931262711446</v>
      </c>
    </row>
    <row r="12" spans="2:4" x14ac:dyDescent="0.25">
      <c r="B12" t="s">
        <v>151</v>
      </c>
      <c r="C12" s="105">
        <v>2</v>
      </c>
      <c r="D12" t="s">
        <v>4</v>
      </c>
    </row>
    <row r="13" spans="2:4" x14ac:dyDescent="0.25">
      <c r="C13" s="105"/>
    </row>
    <row r="14" spans="2:4" x14ac:dyDescent="0.25">
      <c r="B14" t="s">
        <v>152</v>
      </c>
      <c r="C14" s="128">
        <f>C9+C10-C11</f>
        <v>29.790687372885543</v>
      </c>
      <c r="D14" t="s">
        <v>153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F12"/>
  <sheetViews>
    <sheetView workbookViewId="0">
      <selection activeCell="E8" sqref="E8"/>
    </sheetView>
  </sheetViews>
  <sheetFormatPr defaultRowHeight="15" x14ac:dyDescent="0.25"/>
  <cols>
    <col min="4" max="4" width="12.28515625" bestFit="1" customWidth="1"/>
  </cols>
  <sheetData>
    <row r="6" spans="4:6" x14ac:dyDescent="0.25">
      <c r="D6" t="s">
        <v>154</v>
      </c>
      <c r="E6" s="129">
        <v>0.04</v>
      </c>
    </row>
    <row r="7" spans="4:6" x14ac:dyDescent="0.25">
      <c r="D7" t="s">
        <v>155</v>
      </c>
      <c r="E7" s="130">
        <v>435</v>
      </c>
    </row>
    <row r="8" spans="4:6" x14ac:dyDescent="0.25">
      <c r="D8" t="s">
        <v>151</v>
      </c>
      <c r="E8">
        <v>2</v>
      </c>
      <c r="F8" t="s">
        <v>4</v>
      </c>
    </row>
    <row r="9" spans="4:6" x14ac:dyDescent="0.25">
      <c r="D9" t="s">
        <v>156</v>
      </c>
      <c r="E9" s="131">
        <f>E7*EXP(E6*E8/12)</f>
        <v>437.90968818399841</v>
      </c>
    </row>
    <row r="11" spans="4:6" x14ac:dyDescent="0.25">
      <c r="E11" s="132" t="s">
        <v>157</v>
      </c>
    </row>
    <row r="12" spans="4:6" x14ac:dyDescent="0.25">
      <c r="E12" s="13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C1" workbookViewId="0">
      <selection activeCell="F4" sqref="F4"/>
    </sheetView>
  </sheetViews>
  <sheetFormatPr defaultRowHeight="15" x14ac:dyDescent="0.25"/>
  <cols>
    <col min="3" max="3" width="10.28515625" bestFit="1" customWidth="1"/>
    <col min="4" max="4" width="15.85546875" bestFit="1" customWidth="1"/>
    <col min="5" max="5" width="13.7109375" bestFit="1" customWidth="1"/>
    <col min="6" max="6" width="14.7109375" bestFit="1" customWidth="1"/>
  </cols>
  <sheetData>
    <row r="1" spans="1:6" x14ac:dyDescent="0.25">
      <c r="A1" t="s">
        <v>100</v>
      </c>
      <c r="D1" t="s">
        <v>113</v>
      </c>
      <c r="E1" t="s">
        <v>180</v>
      </c>
      <c r="F1" s="111"/>
    </row>
    <row r="2" spans="1:6" x14ac:dyDescent="0.25">
      <c r="C2" t="s">
        <v>100</v>
      </c>
      <c r="D2" s="132">
        <v>420</v>
      </c>
      <c r="E2" s="136">
        <f>'Q3(v)'!E9</f>
        <v>437.90968818399841</v>
      </c>
      <c r="F2" s="132"/>
    </row>
    <row r="3" spans="1:6" x14ac:dyDescent="0.25">
      <c r="F3" s="111"/>
    </row>
    <row r="4" spans="1:6" x14ac:dyDescent="0.25">
      <c r="C4" s="133" t="s">
        <v>149</v>
      </c>
      <c r="D4" s="115" t="s">
        <v>158</v>
      </c>
      <c r="E4" s="115" t="s">
        <v>159</v>
      </c>
      <c r="F4" s="115" t="s">
        <v>160</v>
      </c>
    </row>
    <row r="5" spans="1:6" x14ac:dyDescent="0.25">
      <c r="C5" s="131">
        <v>300</v>
      </c>
      <c r="D5" s="134">
        <f>MAX(0,C5-$D$2)</f>
        <v>0</v>
      </c>
      <c r="E5" s="134">
        <f>$E$2-C5</f>
        <v>137.90968818399841</v>
      </c>
      <c r="F5" s="134">
        <f>D5+E5</f>
        <v>137.90968818399841</v>
      </c>
    </row>
    <row r="6" spans="1:6" x14ac:dyDescent="0.25">
      <c r="C6" s="131">
        <f>C5+10</f>
        <v>310</v>
      </c>
      <c r="D6" s="134">
        <f t="shared" ref="D6:D35" si="0">MAX(0,C6-$D$2)</f>
        <v>0</v>
      </c>
      <c r="E6" s="134">
        <f t="shared" ref="E6:E35" si="1">$E$2-C6</f>
        <v>127.90968818399841</v>
      </c>
      <c r="F6" s="134">
        <f t="shared" ref="F6:F35" si="2">D6+E6</f>
        <v>127.90968818399841</v>
      </c>
    </row>
    <row r="7" spans="1:6" x14ac:dyDescent="0.25">
      <c r="C7" s="131">
        <f t="shared" ref="C7:C35" si="3">C6+10</f>
        <v>320</v>
      </c>
      <c r="D7" s="134">
        <f t="shared" si="0"/>
        <v>0</v>
      </c>
      <c r="E7" s="134">
        <f t="shared" si="1"/>
        <v>117.90968818399841</v>
      </c>
      <c r="F7" s="134">
        <f t="shared" si="2"/>
        <v>117.90968818399841</v>
      </c>
    </row>
    <row r="8" spans="1:6" x14ac:dyDescent="0.25">
      <c r="C8" s="131">
        <f t="shared" si="3"/>
        <v>330</v>
      </c>
      <c r="D8" s="134">
        <f t="shared" si="0"/>
        <v>0</v>
      </c>
      <c r="E8" s="134">
        <f t="shared" si="1"/>
        <v>107.90968818399841</v>
      </c>
      <c r="F8" s="134">
        <f t="shared" si="2"/>
        <v>107.90968818399841</v>
      </c>
    </row>
    <row r="9" spans="1:6" x14ac:dyDescent="0.25">
      <c r="C9" s="131">
        <f t="shared" si="3"/>
        <v>340</v>
      </c>
      <c r="D9" s="134">
        <f t="shared" si="0"/>
        <v>0</v>
      </c>
      <c r="E9" s="134">
        <f t="shared" si="1"/>
        <v>97.909688183998412</v>
      </c>
      <c r="F9" s="134">
        <f t="shared" si="2"/>
        <v>97.909688183998412</v>
      </c>
    </row>
    <row r="10" spans="1:6" x14ac:dyDescent="0.25">
      <c r="C10" s="131">
        <f t="shared" si="3"/>
        <v>350</v>
      </c>
      <c r="D10" s="134">
        <f t="shared" si="0"/>
        <v>0</v>
      </c>
      <c r="E10" s="134">
        <f t="shared" si="1"/>
        <v>87.909688183998412</v>
      </c>
      <c r="F10" s="134">
        <f t="shared" si="2"/>
        <v>87.909688183998412</v>
      </c>
    </row>
    <row r="11" spans="1:6" x14ac:dyDescent="0.25">
      <c r="C11" s="131">
        <f t="shared" si="3"/>
        <v>360</v>
      </c>
      <c r="D11" s="134">
        <f t="shared" si="0"/>
        <v>0</v>
      </c>
      <c r="E11" s="134">
        <f t="shared" si="1"/>
        <v>77.909688183998412</v>
      </c>
      <c r="F11" s="134">
        <f t="shared" si="2"/>
        <v>77.909688183998412</v>
      </c>
    </row>
    <row r="12" spans="1:6" x14ac:dyDescent="0.25">
      <c r="C12" s="131">
        <f t="shared" si="3"/>
        <v>370</v>
      </c>
      <c r="D12" s="134">
        <f t="shared" si="0"/>
        <v>0</v>
      </c>
      <c r="E12" s="134">
        <f t="shared" si="1"/>
        <v>67.909688183998412</v>
      </c>
      <c r="F12" s="134">
        <f t="shared" si="2"/>
        <v>67.909688183998412</v>
      </c>
    </row>
    <row r="13" spans="1:6" x14ac:dyDescent="0.25">
      <c r="C13" s="131">
        <f t="shared" si="3"/>
        <v>380</v>
      </c>
      <c r="D13" s="134">
        <f t="shared" si="0"/>
        <v>0</v>
      </c>
      <c r="E13" s="134">
        <f t="shared" si="1"/>
        <v>57.909688183998412</v>
      </c>
      <c r="F13" s="134">
        <f t="shared" si="2"/>
        <v>57.909688183998412</v>
      </c>
    </row>
    <row r="14" spans="1:6" x14ac:dyDescent="0.25">
      <c r="C14" s="131">
        <f t="shared" si="3"/>
        <v>390</v>
      </c>
      <c r="D14" s="134">
        <f t="shared" si="0"/>
        <v>0</v>
      </c>
      <c r="E14" s="134">
        <f t="shared" si="1"/>
        <v>47.909688183998412</v>
      </c>
      <c r="F14" s="134">
        <f t="shared" si="2"/>
        <v>47.909688183998412</v>
      </c>
    </row>
    <row r="15" spans="1:6" x14ac:dyDescent="0.25">
      <c r="C15" s="131">
        <f t="shared" si="3"/>
        <v>400</v>
      </c>
      <c r="D15" s="134">
        <f t="shared" si="0"/>
        <v>0</v>
      </c>
      <c r="E15" s="134">
        <f t="shared" si="1"/>
        <v>37.909688183998412</v>
      </c>
      <c r="F15" s="134">
        <f t="shared" si="2"/>
        <v>37.909688183998412</v>
      </c>
    </row>
    <row r="16" spans="1:6" x14ac:dyDescent="0.25">
      <c r="C16" s="131">
        <f t="shared" si="3"/>
        <v>410</v>
      </c>
      <c r="D16" s="134">
        <f t="shared" si="0"/>
        <v>0</v>
      </c>
      <c r="E16" s="134">
        <f t="shared" si="1"/>
        <v>27.909688183998412</v>
      </c>
      <c r="F16" s="134">
        <f t="shared" si="2"/>
        <v>27.909688183998412</v>
      </c>
    </row>
    <row r="17" spans="3:9" x14ac:dyDescent="0.25">
      <c r="C17" s="131">
        <f t="shared" si="3"/>
        <v>420</v>
      </c>
      <c r="D17" s="134">
        <f t="shared" si="0"/>
        <v>0</v>
      </c>
      <c r="E17" s="134">
        <f t="shared" si="1"/>
        <v>17.909688183998412</v>
      </c>
      <c r="F17" s="134">
        <f t="shared" si="2"/>
        <v>17.909688183998412</v>
      </c>
    </row>
    <row r="18" spans="3:9" x14ac:dyDescent="0.25">
      <c r="C18" s="131">
        <f t="shared" si="3"/>
        <v>430</v>
      </c>
      <c r="D18" s="134">
        <f t="shared" si="0"/>
        <v>10</v>
      </c>
      <c r="E18" s="134">
        <f t="shared" si="1"/>
        <v>7.9096881839984121</v>
      </c>
      <c r="F18" s="134">
        <f t="shared" si="2"/>
        <v>17.909688183998412</v>
      </c>
    </row>
    <row r="19" spans="3:9" x14ac:dyDescent="0.25">
      <c r="C19" s="131">
        <f t="shared" si="3"/>
        <v>440</v>
      </c>
      <c r="D19" s="134">
        <f t="shared" si="0"/>
        <v>20</v>
      </c>
      <c r="E19" s="134">
        <f t="shared" si="1"/>
        <v>-2.0903118160015879</v>
      </c>
      <c r="F19" s="134">
        <f t="shared" si="2"/>
        <v>17.909688183998412</v>
      </c>
    </row>
    <row r="20" spans="3:9" x14ac:dyDescent="0.25">
      <c r="C20" s="131">
        <f t="shared" si="3"/>
        <v>450</v>
      </c>
      <c r="D20" s="134">
        <f t="shared" si="0"/>
        <v>30</v>
      </c>
      <c r="E20" s="134">
        <f t="shared" si="1"/>
        <v>-12.090311816001588</v>
      </c>
      <c r="F20" s="134">
        <f t="shared" si="2"/>
        <v>17.909688183998412</v>
      </c>
    </row>
    <row r="21" spans="3:9" x14ac:dyDescent="0.25">
      <c r="C21" s="131">
        <f t="shared" si="3"/>
        <v>460</v>
      </c>
      <c r="D21" s="134">
        <f t="shared" si="0"/>
        <v>40</v>
      </c>
      <c r="E21" s="134">
        <f t="shared" si="1"/>
        <v>-22.090311816001588</v>
      </c>
      <c r="F21" s="134">
        <f t="shared" si="2"/>
        <v>17.909688183998412</v>
      </c>
    </row>
    <row r="22" spans="3:9" x14ac:dyDescent="0.25">
      <c r="C22" s="131">
        <f t="shared" si="3"/>
        <v>470</v>
      </c>
      <c r="D22" s="134">
        <f t="shared" si="0"/>
        <v>50</v>
      </c>
      <c r="E22" s="134">
        <f t="shared" si="1"/>
        <v>-32.090311816001588</v>
      </c>
      <c r="F22" s="134">
        <f t="shared" si="2"/>
        <v>17.909688183998412</v>
      </c>
    </row>
    <row r="23" spans="3:9" x14ac:dyDescent="0.25">
      <c r="C23" s="131">
        <f t="shared" si="3"/>
        <v>480</v>
      </c>
      <c r="D23" s="134">
        <f t="shared" si="0"/>
        <v>60</v>
      </c>
      <c r="E23" s="134">
        <f t="shared" si="1"/>
        <v>-42.090311816001588</v>
      </c>
      <c r="F23" s="134">
        <f t="shared" si="2"/>
        <v>17.909688183998412</v>
      </c>
    </row>
    <row r="24" spans="3:9" x14ac:dyDescent="0.25">
      <c r="C24" s="131">
        <f t="shared" si="3"/>
        <v>490</v>
      </c>
      <c r="D24" s="134">
        <f t="shared" si="0"/>
        <v>70</v>
      </c>
      <c r="E24" s="134">
        <f t="shared" si="1"/>
        <v>-52.090311816001588</v>
      </c>
      <c r="F24" s="134">
        <f t="shared" si="2"/>
        <v>17.909688183998412</v>
      </c>
    </row>
    <row r="25" spans="3:9" x14ac:dyDescent="0.25">
      <c r="C25" s="131">
        <f t="shared" si="3"/>
        <v>500</v>
      </c>
      <c r="D25" s="134">
        <f t="shared" si="0"/>
        <v>80</v>
      </c>
      <c r="E25" s="134">
        <f t="shared" si="1"/>
        <v>-62.090311816001588</v>
      </c>
      <c r="F25" s="134">
        <f t="shared" si="2"/>
        <v>17.909688183998412</v>
      </c>
    </row>
    <row r="26" spans="3:9" x14ac:dyDescent="0.25">
      <c r="C26" s="131">
        <f t="shared" si="3"/>
        <v>510</v>
      </c>
      <c r="D26" s="134">
        <f t="shared" si="0"/>
        <v>90</v>
      </c>
      <c r="E26" s="134">
        <f t="shared" si="1"/>
        <v>-72.090311816001588</v>
      </c>
      <c r="F26" s="134">
        <f t="shared" si="2"/>
        <v>17.909688183998412</v>
      </c>
      <c r="I26" t="s">
        <v>161</v>
      </c>
    </row>
    <row r="27" spans="3:9" x14ac:dyDescent="0.25">
      <c r="C27" s="131">
        <f t="shared" si="3"/>
        <v>520</v>
      </c>
      <c r="D27" s="134">
        <f t="shared" si="0"/>
        <v>100</v>
      </c>
      <c r="E27" s="134">
        <f t="shared" si="1"/>
        <v>-82.090311816001588</v>
      </c>
      <c r="F27" s="134">
        <f t="shared" si="2"/>
        <v>17.909688183998412</v>
      </c>
      <c r="I27" t="s">
        <v>162</v>
      </c>
    </row>
    <row r="28" spans="3:9" x14ac:dyDescent="0.25">
      <c r="C28" s="131">
        <f t="shared" si="3"/>
        <v>530</v>
      </c>
      <c r="D28" s="134">
        <f t="shared" si="0"/>
        <v>110</v>
      </c>
      <c r="E28" s="134">
        <f t="shared" si="1"/>
        <v>-92.090311816001588</v>
      </c>
      <c r="F28" s="134">
        <f t="shared" si="2"/>
        <v>17.909688183998412</v>
      </c>
      <c r="I28" t="s">
        <v>163</v>
      </c>
    </row>
    <row r="29" spans="3:9" x14ac:dyDescent="0.25">
      <c r="C29" s="131">
        <f t="shared" si="3"/>
        <v>540</v>
      </c>
      <c r="D29" s="134">
        <f t="shared" si="0"/>
        <v>120</v>
      </c>
      <c r="E29" s="134">
        <f t="shared" si="1"/>
        <v>-102.09031181600159</v>
      </c>
      <c r="F29" s="134">
        <f t="shared" si="2"/>
        <v>17.909688183998412</v>
      </c>
      <c r="I29" t="s">
        <v>164</v>
      </c>
    </row>
    <row r="30" spans="3:9" x14ac:dyDescent="0.25">
      <c r="C30" s="131">
        <f t="shared" si="3"/>
        <v>550</v>
      </c>
      <c r="D30" s="134">
        <f t="shared" si="0"/>
        <v>130</v>
      </c>
      <c r="E30" s="134">
        <f t="shared" si="1"/>
        <v>-112.09031181600159</v>
      </c>
      <c r="F30" s="134">
        <f t="shared" si="2"/>
        <v>17.909688183998412</v>
      </c>
      <c r="I30" t="s">
        <v>165</v>
      </c>
    </row>
    <row r="31" spans="3:9" x14ac:dyDescent="0.25">
      <c r="C31" s="131">
        <f t="shared" si="3"/>
        <v>560</v>
      </c>
      <c r="D31" s="134">
        <f t="shared" si="0"/>
        <v>140</v>
      </c>
      <c r="E31" s="134">
        <f t="shared" si="1"/>
        <v>-122.09031181600159</v>
      </c>
      <c r="F31" s="134">
        <f t="shared" si="2"/>
        <v>17.909688183998412</v>
      </c>
      <c r="I31" t="s">
        <v>166</v>
      </c>
    </row>
    <row r="32" spans="3:9" x14ac:dyDescent="0.25">
      <c r="C32" s="131">
        <f t="shared" si="3"/>
        <v>570</v>
      </c>
      <c r="D32" s="134">
        <f t="shared" si="0"/>
        <v>150</v>
      </c>
      <c r="E32" s="134">
        <f t="shared" si="1"/>
        <v>-132.09031181600159</v>
      </c>
      <c r="F32" s="134">
        <f t="shared" si="2"/>
        <v>17.909688183998412</v>
      </c>
    </row>
    <row r="33" spans="3:9" x14ac:dyDescent="0.25">
      <c r="C33" s="131">
        <f t="shared" si="3"/>
        <v>580</v>
      </c>
      <c r="D33" s="134">
        <f t="shared" si="0"/>
        <v>160</v>
      </c>
      <c r="E33" s="134">
        <f t="shared" si="1"/>
        <v>-142.09031181600159</v>
      </c>
      <c r="F33" s="134">
        <f t="shared" si="2"/>
        <v>17.909688183998412</v>
      </c>
      <c r="I33" t="s">
        <v>167</v>
      </c>
    </row>
    <row r="34" spans="3:9" x14ac:dyDescent="0.25">
      <c r="C34" s="131">
        <f t="shared" si="3"/>
        <v>590</v>
      </c>
      <c r="D34" s="134">
        <f t="shared" si="0"/>
        <v>170</v>
      </c>
      <c r="E34" s="134">
        <f t="shared" si="1"/>
        <v>-152.09031181600159</v>
      </c>
      <c r="F34" s="134">
        <f t="shared" si="2"/>
        <v>17.909688183998412</v>
      </c>
      <c r="I34" s="132"/>
    </row>
    <row r="35" spans="3:9" x14ac:dyDescent="0.25">
      <c r="C35" s="131">
        <f t="shared" si="3"/>
        <v>600</v>
      </c>
      <c r="D35" s="134">
        <f t="shared" si="0"/>
        <v>180</v>
      </c>
      <c r="E35" s="134">
        <f t="shared" si="1"/>
        <v>-162.09031181600159</v>
      </c>
      <c r="F35" s="134">
        <f t="shared" si="2"/>
        <v>17.909688183998412</v>
      </c>
      <c r="I35" s="132"/>
    </row>
    <row r="36" spans="3:9" x14ac:dyDescent="0.25">
      <c r="C36" s="130"/>
      <c r="D36" s="135"/>
      <c r="E36" s="135"/>
      <c r="F36" s="135"/>
      <c r="I36" s="132"/>
    </row>
    <row r="37" spans="3:9" x14ac:dyDescent="0.25">
      <c r="C37" s="130"/>
      <c r="D37" s="135"/>
      <c r="E37" s="135"/>
      <c r="F37" s="135"/>
      <c r="I37" s="132"/>
    </row>
    <row r="38" spans="3:9" x14ac:dyDescent="0.25">
      <c r="C38" s="130"/>
      <c r="D38" s="135"/>
      <c r="E38" s="135"/>
      <c r="F38" s="135"/>
    </row>
    <row r="39" spans="3:9" x14ac:dyDescent="0.25">
      <c r="C39" s="130"/>
      <c r="D39" s="135"/>
      <c r="E39" s="135"/>
      <c r="F39" s="135"/>
    </row>
    <row r="40" spans="3:9" x14ac:dyDescent="0.25">
      <c r="C40" s="130"/>
      <c r="D40" s="135"/>
      <c r="E40" s="135"/>
      <c r="F40" s="135"/>
    </row>
    <row r="41" spans="3:9" x14ac:dyDescent="0.25">
      <c r="C41" s="130"/>
      <c r="D41" s="135"/>
      <c r="E41" s="135"/>
      <c r="F41" s="135"/>
    </row>
    <row r="42" spans="3:9" x14ac:dyDescent="0.25">
      <c r="C42" s="130"/>
      <c r="D42" s="135"/>
      <c r="E42" s="135"/>
      <c r="F42" s="135"/>
    </row>
    <row r="43" spans="3:9" x14ac:dyDescent="0.25">
      <c r="C43" s="130"/>
      <c r="D43" s="135"/>
      <c r="E43" s="135"/>
      <c r="F43" s="135"/>
    </row>
    <row r="44" spans="3:9" x14ac:dyDescent="0.25">
      <c r="C44" s="130"/>
      <c r="D44" s="135"/>
      <c r="E44" s="135"/>
      <c r="F44" s="135"/>
    </row>
    <row r="45" spans="3:9" x14ac:dyDescent="0.25">
      <c r="C45" s="130"/>
      <c r="D45" s="135"/>
      <c r="E45" s="135"/>
      <c r="F45" s="1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64"/>
  <sheetViews>
    <sheetView zoomScale="85" zoomScaleNormal="85" workbookViewId="0"/>
  </sheetViews>
  <sheetFormatPr defaultRowHeight="15" x14ac:dyDescent="0.25"/>
  <cols>
    <col min="5" max="5" width="26.7109375" customWidth="1"/>
    <col min="6" max="6" width="36.28515625" customWidth="1"/>
    <col min="7" max="7" width="45.5703125" customWidth="1"/>
    <col min="8" max="8" width="31.28515625" customWidth="1"/>
    <col min="9" max="9" width="25" customWidth="1"/>
    <col min="14" max="14" width="11.7109375" customWidth="1"/>
    <col min="15" max="15" width="14.28515625" customWidth="1"/>
    <col min="16" max="16" width="15.28515625" customWidth="1"/>
  </cols>
  <sheetData>
    <row r="4" spans="4:20" x14ac:dyDescent="0.25">
      <c r="F4" t="s">
        <v>6</v>
      </c>
      <c r="G4" s="4"/>
    </row>
    <row r="5" spans="4:20" ht="15.75" thickBot="1" x14ac:dyDescent="0.3"/>
    <row r="6" spans="4:20" ht="15.75" thickBot="1" x14ac:dyDescent="0.3">
      <c r="D6" s="40"/>
      <c r="E6" s="43" t="str">
        <f>input_Q1!G6</f>
        <v>Project1</v>
      </c>
      <c r="F6" s="44" t="str">
        <f>input_Q1!H6</f>
        <v>Project2</v>
      </c>
      <c r="G6" s="44" t="str">
        <f>input_Q1!I6</f>
        <v>Project3</v>
      </c>
      <c r="H6" s="44"/>
      <c r="I6" s="45" t="str">
        <f>input_Q1!K6</f>
        <v xml:space="preserve"> toll received from the entire country</v>
      </c>
    </row>
    <row r="7" spans="4:20" x14ac:dyDescent="0.25">
      <c r="D7" s="35" t="str">
        <f>input_Q1!F7</f>
        <v>months</v>
      </c>
      <c r="E7" s="41"/>
      <c r="F7" s="41"/>
      <c r="G7" s="41"/>
      <c r="H7" s="41"/>
      <c r="I7" s="42"/>
      <c r="N7" s="46" t="s">
        <v>8</v>
      </c>
      <c r="O7" s="47" t="s">
        <v>10</v>
      </c>
      <c r="P7" s="48" t="s">
        <v>9</v>
      </c>
      <c r="R7" s="61" t="s">
        <v>12</v>
      </c>
    </row>
    <row r="8" spans="4:20" x14ac:dyDescent="0.25">
      <c r="D8" s="35">
        <f>input_Q1!F8</f>
        <v>1</v>
      </c>
      <c r="E8" s="1">
        <f>input_Q1!G8</f>
        <v>25</v>
      </c>
      <c r="F8" s="1">
        <f>input_Q1!H8</f>
        <v>18</v>
      </c>
      <c r="G8" s="1">
        <f>input_Q1!I8</f>
        <v>22</v>
      </c>
      <c r="H8" s="1"/>
      <c r="I8" s="36">
        <f>input_Q1!K8</f>
        <v>22000</v>
      </c>
      <c r="M8" s="30" t="s">
        <v>7</v>
      </c>
      <c r="N8" s="49">
        <f>_xlfn.COVARIANCE.P(E8:E64,$I$8:$I$64)</f>
        <v>-18477.864265927979</v>
      </c>
      <c r="O8" s="29">
        <f>_xlfn.COVARIANCE.P(F8:F64,$I$8:$I$64)</f>
        <v>17530.186518928913</v>
      </c>
      <c r="P8" s="50">
        <f>_xlfn.COVARIANCE.P(G8:G64,$I$8:$I$64)</f>
        <v>2847.2096029547492</v>
      </c>
      <c r="R8" s="62"/>
      <c r="T8" t="s">
        <v>16</v>
      </c>
    </row>
    <row r="9" spans="4:20" x14ac:dyDescent="0.25">
      <c r="D9" s="35">
        <f>input_Q1!F9</f>
        <v>2</v>
      </c>
      <c r="E9" s="1">
        <f>input_Q1!G9</f>
        <v>27</v>
      </c>
      <c r="F9" s="1">
        <f>input_Q1!H9</f>
        <v>59</v>
      </c>
      <c r="G9" s="1">
        <f>input_Q1!I9</f>
        <v>30</v>
      </c>
      <c r="H9" s="1"/>
      <c r="I9" s="36">
        <f>input_Q1!K9</f>
        <v>45222</v>
      </c>
      <c r="M9" s="30" t="s">
        <v>15</v>
      </c>
      <c r="N9" s="49">
        <f>_xlfn.STDEV.P(E8:E64)</f>
        <v>7.4082881388793949</v>
      </c>
      <c r="O9" s="29">
        <f t="shared" ref="O9:R9" si="0">_xlfn.STDEV.P(F8:F64)</f>
        <v>13.117716434530665</v>
      </c>
      <c r="P9" s="50">
        <f t="shared" si="0"/>
        <v>23.952823747239016</v>
      </c>
      <c r="R9" s="62">
        <f t="shared" si="0"/>
        <v>8621.4005975874516</v>
      </c>
      <c r="T9" t="s">
        <v>42</v>
      </c>
    </row>
    <row r="10" spans="4:20" x14ac:dyDescent="0.25">
      <c r="D10" s="35">
        <f>input_Q1!F10</f>
        <v>3</v>
      </c>
      <c r="E10" s="1">
        <f>input_Q1!G10</f>
        <v>33</v>
      </c>
      <c r="F10" s="1">
        <f>input_Q1!H10</f>
        <v>40</v>
      </c>
      <c r="G10" s="1">
        <f>input_Q1!I10</f>
        <v>69</v>
      </c>
      <c r="H10" s="1"/>
      <c r="I10" s="36">
        <f>input_Q1!K10</f>
        <v>31758</v>
      </c>
      <c r="M10" s="30"/>
      <c r="N10" s="49"/>
      <c r="O10" s="29"/>
      <c r="P10" s="50"/>
      <c r="R10" s="62"/>
    </row>
    <row r="11" spans="4:20" x14ac:dyDescent="0.25">
      <c r="D11" s="35">
        <f>input_Q1!F11</f>
        <v>4</v>
      </c>
      <c r="E11" s="1">
        <f>input_Q1!G11</f>
        <v>46</v>
      </c>
      <c r="F11" s="1">
        <f>input_Q1!H11</f>
        <v>50</v>
      </c>
      <c r="G11" s="1">
        <f>input_Q1!I11</f>
        <v>50</v>
      </c>
      <c r="H11" s="1"/>
      <c r="I11" s="36">
        <f>input_Q1!K11</f>
        <v>35061</v>
      </c>
      <c r="M11" s="30" t="s">
        <v>13</v>
      </c>
      <c r="N11" s="51">
        <f>N8/$R$9^2</f>
        <v>-2.4859713659788072E-4</v>
      </c>
      <c r="O11" s="52">
        <f t="shared" ref="O11:P11" si="1">O8/$R$9^2</f>
        <v>2.3584728786368948E-4</v>
      </c>
      <c r="P11" s="53">
        <f t="shared" si="1"/>
        <v>3.8305734061143271E-5</v>
      </c>
      <c r="R11" s="62"/>
      <c r="T11" t="s">
        <v>16</v>
      </c>
    </row>
    <row r="12" spans="4:20" x14ac:dyDescent="0.25">
      <c r="D12" s="35">
        <f>input_Q1!F12</f>
        <v>5</v>
      </c>
      <c r="E12" s="1">
        <f>input_Q1!G12</f>
        <v>40</v>
      </c>
      <c r="F12" s="1">
        <f>input_Q1!H12</f>
        <v>65</v>
      </c>
      <c r="G12" s="1">
        <f>input_Q1!I12</f>
        <v>40</v>
      </c>
      <c r="H12" s="1"/>
      <c r="I12" s="36">
        <f>input_Q1!K12</f>
        <v>22781</v>
      </c>
      <c r="M12" s="30"/>
      <c r="N12" s="49"/>
      <c r="O12" s="29" t="s">
        <v>17</v>
      </c>
      <c r="P12" s="50"/>
      <c r="R12" s="62"/>
    </row>
    <row r="13" spans="4:20" x14ac:dyDescent="0.25">
      <c r="D13" s="35">
        <f>input_Q1!F13</f>
        <v>6</v>
      </c>
      <c r="E13" s="1">
        <f>input_Q1!G13</f>
        <v>48</v>
      </c>
      <c r="F13" s="1">
        <f>input_Q1!H13</f>
        <v>44</v>
      </c>
      <c r="G13" s="1">
        <f>input_Q1!I13</f>
        <v>26</v>
      </c>
      <c r="H13" s="1"/>
      <c r="I13" s="36">
        <f>input_Q1!K13</f>
        <v>31827</v>
      </c>
      <c r="M13" s="30" t="s">
        <v>14</v>
      </c>
      <c r="N13" s="54">
        <f>N8/(N9*$R$9)</f>
        <v>-0.28930509475940752</v>
      </c>
      <c r="O13" s="55">
        <f t="shared" ref="O13:P13" si="2">O8/(O9*$R$9)</f>
        <v>0.15500670095100605</v>
      </c>
      <c r="P13" s="56">
        <f t="shared" si="2"/>
        <v>1.3787480006979703E-2</v>
      </c>
      <c r="R13" s="62"/>
    </row>
    <row r="14" spans="4:20" x14ac:dyDescent="0.25">
      <c r="D14" s="35">
        <f>input_Q1!F14</f>
        <v>7</v>
      </c>
      <c r="E14" s="1">
        <f>input_Q1!G14</f>
        <v>30</v>
      </c>
      <c r="F14" s="1">
        <f>input_Q1!H14</f>
        <v>59</v>
      </c>
      <c r="G14" s="1">
        <f>input_Q1!I14</f>
        <v>100</v>
      </c>
      <c r="H14" s="1"/>
      <c r="I14" s="36">
        <f>input_Q1!K14</f>
        <v>49808</v>
      </c>
      <c r="M14" s="30"/>
      <c r="N14" s="54">
        <f>CORREL(E8:E64,$I$8:$I$64)</f>
        <v>-0.28930509475940747</v>
      </c>
      <c r="O14" s="55">
        <f t="shared" ref="O14" si="3">CORREL(F8:F64,$I$8:$I$64)</f>
        <v>0.15500670095100605</v>
      </c>
      <c r="P14" s="56">
        <f>CORREL(G8:G64,$I$8:$I$64)</f>
        <v>1.3787480006979705E-2</v>
      </c>
      <c r="R14" s="62"/>
    </row>
    <row r="15" spans="4:20" x14ac:dyDescent="0.25">
      <c r="D15" s="35">
        <f>input_Q1!F15</f>
        <v>8</v>
      </c>
      <c r="E15" s="1">
        <f>input_Q1!G15</f>
        <v>44</v>
      </c>
      <c r="F15" s="1">
        <f>input_Q1!H15</f>
        <v>63</v>
      </c>
      <c r="G15" s="1">
        <f>input_Q1!I15</f>
        <v>33</v>
      </c>
      <c r="H15" s="1"/>
      <c r="I15" s="36">
        <f>input_Q1!K15</f>
        <v>40680</v>
      </c>
      <c r="M15" s="30"/>
      <c r="N15" s="49"/>
      <c r="O15" s="29"/>
      <c r="P15" s="50"/>
      <c r="R15" s="62"/>
    </row>
    <row r="16" spans="4:20" ht="15.75" thickBot="1" x14ac:dyDescent="0.3">
      <c r="D16" s="35">
        <f>input_Q1!F16</f>
        <v>9</v>
      </c>
      <c r="E16" s="1">
        <f>input_Q1!G16</f>
        <v>27</v>
      </c>
      <c r="F16" s="1">
        <f>input_Q1!H16</f>
        <v>52</v>
      </c>
      <c r="G16" s="1">
        <f>input_Q1!I16</f>
        <v>82</v>
      </c>
      <c r="H16" s="1"/>
      <c r="I16" s="36">
        <f>input_Q1!K16</f>
        <v>33343</v>
      </c>
      <c r="M16" s="60" t="s">
        <v>13</v>
      </c>
      <c r="N16" s="57">
        <f>N14*N9/$R$9</f>
        <v>-2.4859713659788066E-4</v>
      </c>
      <c r="O16" s="58">
        <f t="shared" ref="O16:P16" si="4">O14*O9/$R$9</f>
        <v>2.3584728786368945E-4</v>
      </c>
      <c r="P16" s="59">
        <f t="shared" si="4"/>
        <v>3.8305734061143278E-5</v>
      </c>
      <c r="R16" s="63"/>
    </row>
    <row r="17" spans="4:10" x14ac:dyDescent="0.25">
      <c r="D17" s="35">
        <f>input_Q1!F17</f>
        <v>10</v>
      </c>
      <c r="E17" s="1">
        <f>input_Q1!G17</f>
        <v>28</v>
      </c>
      <c r="F17" s="1">
        <f>input_Q1!H17</f>
        <v>59</v>
      </c>
      <c r="G17" s="1">
        <f>input_Q1!I17</f>
        <v>65</v>
      </c>
      <c r="H17" s="1"/>
      <c r="I17" s="36">
        <f>input_Q1!K17</f>
        <v>44173</v>
      </c>
    </row>
    <row r="18" spans="4:10" x14ac:dyDescent="0.25">
      <c r="D18" s="35">
        <f>input_Q1!F18</f>
        <v>11</v>
      </c>
      <c r="E18" s="1">
        <f>input_Q1!G18</f>
        <v>35</v>
      </c>
      <c r="F18" s="1">
        <f>input_Q1!H18</f>
        <v>59</v>
      </c>
      <c r="G18" s="1">
        <f>input_Q1!I18</f>
        <v>49</v>
      </c>
      <c r="H18" s="1"/>
      <c r="I18" s="36">
        <f>input_Q1!K18</f>
        <v>27018</v>
      </c>
    </row>
    <row r="19" spans="4:10" x14ac:dyDescent="0.25">
      <c r="D19" s="35">
        <f>input_Q1!F19</f>
        <v>12</v>
      </c>
      <c r="E19" s="1">
        <f>input_Q1!G19</f>
        <v>47</v>
      </c>
      <c r="F19" s="1">
        <f>input_Q1!H19</f>
        <v>33</v>
      </c>
      <c r="G19" s="1">
        <f>input_Q1!I19</f>
        <v>80</v>
      </c>
      <c r="H19" s="1"/>
      <c r="I19" s="36">
        <f>input_Q1!K19</f>
        <v>29244</v>
      </c>
    </row>
    <row r="20" spans="4:10" x14ac:dyDescent="0.25">
      <c r="D20" s="35">
        <f>input_Q1!F20</f>
        <v>13</v>
      </c>
      <c r="E20" s="1">
        <f>input_Q1!G20</f>
        <v>43</v>
      </c>
      <c r="F20" s="1">
        <f>input_Q1!H20</f>
        <v>71</v>
      </c>
      <c r="G20" s="1">
        <f>input_Q1!I20</f>
        <v>92</v>
      </c>
      <c r="H20" s="1"/>
      <c r="I20" s="36">
        <f>input_Q1!K20</f>
        <v>49702</v>
      </c>
    </row>
    <row r="21" spans="4:10" x14ac:dyDescent="0.25">
      <c r="D21" s="35">
        <f>input_Q1!F21</f>
        <v>14</v>
      </c>
      <c r="E21" s="1">
        <f>input_Q1!G21</f>
        <v>34</v>
      </c>
      <c r="F21" s="1">
        <f>input_Q1!H21</f>
        <v>51</v>
      </c>
      <c r="G21" s="1">
        <f>input_Q1!I21</f>
        <v>65</v>
      </c>
      <c r="H21" s="1"/>
      <c r="I21" s="36">
        <f>input_Q1!K21</f>
        <v>47053</v>
      </c>
    </row>
    <row r="22" spans="4:10" x14ac:dyDescent="0.25">
      <c r="D22" s="35">
        <f>input_Q1!F22</f>
        <v>15</v>
      </c>
      <c r="E22" s="1">
        <f>input_Q1!G22</f>
        <v>46</v>
      </c>
      <c r="F22" s="1">
        <f>input_Q1!H22</f>
        <v>68</v>
      </c>
      <c r="G22" s="1">
        <f>input_Q1!I22</f>
        <v>75</v>
      </c>
      <c r="H22" s="1"/>
      <c r="I22" s="36">
        <f>input_Q1!K22</f>
        <v>22445</v>
      </c>
    </row>
    <row r="23" spans="4:10" x14ac:dyDescent="0.25">
      <c r="D23" s="35">
        <f>input_Q1!F23</f>
        <v>16</v>
      </c>
      <c r="E23" s="1">
        <f>input_Q1!G23</f>
        <v>40</v>
      </c>
      <c r="F23" s="1">
        <f>input_Q1!H23</f>
        <v>70</v>
      </c>
      <c r="G23" s="1">
        <f>input_Q1!I23</f>
        <v>82</v>
      </c>
      <c r="H23" s="1"/>
      <c r="I23" s="36">
        <f>input_Q1!K23</f>
        <v>31140</v>
      </c>
      <c r="J23" s="2"/>
    </row>
    <row r="24" spans="4:10" x14ac:dyDescent="0.25">
      <c r="D24" s="35">
        <f>input_Q1!F24</f>
        <v>17</v>
      </c>
      <c r="E24" s="1">
        <f>input_Q1!G24</f>
        <v>47</v>
      </c>
      <c r="F24" s="1">
        <f>input_Q1!H24</f>
        <v>61</v>
      </c>
      <c r="G24" s="1">
        <f>input_Q1!I24</f>
        <v>66</v>
      </c>
      <c r="H24" s="1"/>
      <c r="I24" s="36">
        <f>input_Q1!K24</f>
        <v>32428</v>
      </c>
    </row>
    <row r="25" spans="4:10" x14ac:dyDescent="0.25">
      <c r="D25" s="35">
        <f>input_Q1!F25</f>
        <v>18</v>
      </c>
      <c r="E25" s="1">
        <f>input_Q1!G25</f>
        <v>35</v>
      </c>
      <c r="F25" s="1">
        <f>input_Q1!H25</f>
        <v>38</v>
      </c>
      <c r="G25" s="1">
        <f>input_Q1!I25</f>
        <v>63</v>
      </c>
      <c r="H25" s="1"/>
      <c r="I25" s="36">
        <f>input_Q1!K25</f>
        <v>29891</v>
      </c>
    </row>
    <row r="26" spans="4:10" x14ac:dyDescent="0.25">
      <c r="D26" s="35">
        <f>input_Q1!F26</f>
        <v>19</v>
      </c>
      <c r="E26" s="1">
        <f>input_Q1!G26</f>
        <v>30</v>
      </c>
      <c r="F26" s="1">
        <f>input_Q1!H26</f>
        <v>66</v>
      </c>
      <c r="G26" s="1">
        <f>input_Q1!I26</f>
        <v>96</v>
      </c>
      <c r="H26" s="1"/>
      <c r="I26" s="36">
        <f>input_Q1!K26</f>
        <v>50388</v>
      </c>
    </row>
    <row r="27" spans="4:10" x14ac:dyDescent="0.25">
      <c r="D27" s="35">
        <f>input_Q1!F27</f>
        <v>20</v>
      </c>
      <c r="E27" s="1">
        <f>input_Q1!G27</f>
        <v>25</v>
      </c>
      <c r="F27" s="1">
        <f>input_Q1!H27</f>
        <v>33</v>
      </c>
      <c r="G27" s="1">
        <f>input_Q1!I27</f>
        <v>56</v>
      </c>
      <c r="H27" s="1"/>
      <c r="I27" s="36">
        <f>input_Q1!K27</f>
        <v>38219</v>
      </c>
    </row>
    <row r="28" spans="4:10" x14ac:dyDescent="0.25">
      <c r="D28" s="35">
        <f>input_Q1!F28</f>
        <v>21</v>
      </c>
      <c r="E28" s="1">
        <f>input_Q1!G28</f>
        <v>44</v>
      </c>
      <c r="F28" s="1">
        <f>input_Q1!H28</f>
        <v>58</v>
      </c>
      <c r="G28" s="1">
        <f>input_Q1!I28</f>
        <v>31</v>
      </c>
      <c r="H28" s="1"/>
      <c r="I28" s="36">
        <f>input_Q1!K28</f>
        <v>33448</v>
      </c>
    </row>
    <row r="29" spans="4:10" x14ac:dyDescent="0.25">
      <c r="D29" s="35">
        <f>input_Q1!F29</f>
        <v>22</v>
      </c>
      <c r="E29" s="1">
        <f>input_Q1!G29</f>
        <v>26</v>
      </c>
      <c r="F29" s="1">
        <f>input_Q1!H29</f>
        <v>51</v>
      </c>
      <c r="G29" s="1">
        <f>input_Q1!I29</f>
        <v>38</v>
      </c>
      <c r="H29" s="1"/>
      <c r="I29" s="36">
        <f>input_Q1!K29</f>
        <v>48180</v>
      </c>
    </row>
    <row r="30" spans="4:10" x14ac:dyDescent="0.25">
      <c r="D30" s="35">
        <f>input_Q1!F30</f>
        <v>23</v>
      </c>
      <c r="E30" s="1">
        <f>input_Q1!G30</f>
        <v>36</v>
      </c>
      <c r="F30" s="1">
        <f>input_Q1!H30</f>
        <v>64</v>
      </c>
      <c r="G30" s="1">
        <f>input_Q1!I30</f>
        <v>32</v>
      </c>
      <c r="H30" s="1"/>
      <c r="I30" s="36">
        <f>input_Q1!K30</f>
        <v>43740</v>
      </c>
    </row>
    <row r="31" spans="4:10" x14ac:dyDescent="0.25">
      <c r="D31" s="35">
        <f>input_Q1!F31</f>
        <v>24</v>
      </c>
      <c r="E31" s="1">
        <f>input_Q1!G31</f>
        <v>36</v>
      </c>
      <c r="F31" s="1">
        <f>input_Q1!H31</f>
        <v>62</v>
      </c>
      <c r="G31" s="1">
        <f>input_Q1!I31</f>
        <v>72</v>
      </c>
      <c r="H31" s="1"/>
      <c r="I31" s="36">
        <f>input_Q1!K31</f>
        <v>35394</v>
      </c>
    </row>
    <row r="32" spans="4:10" x14ac:dyDescent="0.25">
      <c r="D32" s="35">
        <f>input_Q1!F32</f>
        <v>25</v>
      </c>
      <c r="E32" s="1">
        <f>input_Q1!G32</f>
        <v>43</v>
      </c>
      <c r="F32" s="1">
        <f>input_Q1!H32</f>
        <v>45</v>
      </c>
      <c r="G32" s="1">
        <f>input_Q1!I32</f>
        <v>62</v>
      </c>
      <c r="H32" s="1"/>
      <c r="I32" s="36">
        <f>input_Q1!K32</f>
        <v>27519</v>
      </c>
    </row>
    <row r="33" spans="4:9" x14ac:dyDescent="0.25">
      <c r="D33" s="35">
        <f>input_Q1!F33</f>
        <v>26</v>
      </c>
      <c r="E33" s="1">
        <f>input_Q1!G33</f>
        <v>48</v>
      </c>
      <c r="F33" s="1">
        <f>input_Q1!H33</f>
        <v>48</v>
      </c>
      <c r="G33" s="1">
        <f>input_Q1!I33</f>
        <v>85</v>
      </c>
      <c r="H33" s="1"/>
      <c r="I33" s="36">
        <f>input_Q1!K33</f>
        <v>33657</v>
      </c>
    </row>
    <row r="34" spans="4:9" x14ac:dyDescent="0.25">
      <c r="D34" s="35">
        <f>input_Q1!F34</f>
        <v>27</v>
      </c>
      <c r="E34" s="1">
        <f>input_Q1!G34</f>
        <v>35</v>
      </c>
      <c r="F34" s="1">
        <f>input_Q1!H34</f>
        <v>52</v>
      </c>
      <c r="G34" s="1">
        <f>input_Q1!I34</f>
        <v>78</v>
      </c>
      <c r="H34" s="1"/>
      <c r="I34" s="36">
        <f>input_Q1!K34</f>
        <v>48517</v>
      </c>
    </row>
    <row r="35" spans="4:9" x14ac:dyDescent="0.25">
      <c r="D35" s="35">
        <f>input_Q1!F35</f>
        <v>28</v>
      </c>
      <c r="E35" s="1">
        <f>input_Q1!G35</f>
        <v>32</v>
      </c>
      <c r="F35" s="1">
        <f>input_Q1!H35</f>
        <v>71</v>
      </c>
      <c r="G35" s="1">
        <f>input_Q1!I35</f>
        <v>31</v>
      </c>
      <c r="H35" s="1"/>
      <c r="I35" s="36">
        <f>input_Q1!K35</f>
        <v>38047</v>
      </c>
    </row>
    <row r="36" spans="4:9" x14ac:dyDescent="0.25">
      <c r="D36" s="35">
        <f>input_Q1!F36</f>
        <v>29</v>
      </c>
      <c r="E36" s="1">
        <f>input_Q1!G36</f>
        <v>28</v>
      </c>
      <c r="F36" s="1">
        <f>input_Q1!H36</f>
        <v>52</v>
      </c>
      <c r="G36" s="1">
        <f>input_Q1!I36</f>
        <v>91</v>
      </c>
      <c r="H36" s="1"/>
      <c r="I36" s="36">
        <f>input_Q1!K36</f>
        <v>23963</v>
      </c>
    </row>
    <row r="37" spans="4:9" x14ac:dyDescent="0.25">
      <c r="D37" s="35">
        <f>input_Q1!F37</f>
        <v>30</v>
      </c>
      <c r="E37" s="1">
        <f>input_Q1!G37</f>
        <v>28</v>
      </c>
      <c r="F37" s="1">
        <f>input_Q1!H37</f>
        <v>44</v>
      </c>
      <c r="G37" s="1">
        <f>input_Q1!I37</f>
        <v>80</v>
      </c>
      <c r="H37" s="1"/>
      <c r="I37" s="36">
        <f>input_Q1!K37</f>
        <v>46463</v>
      </c>
    </row>
    <row r="38" spans="4:9" x14ac:dyDescent="0.25">
      <c r="D38" s="35">
        <f>input_Q1!F38</f>
        <v>31</v>
      </c>
      <c r="E38" s="1">
        <f>input_Q1!G38</f>
        <v>28</v>
      </c>
      <c r="F38" s="1">
        <f>input_Q1!H38</f>
        <v>36</v>
      </c>
      <c r="G38" s="1">
        <f>input_Q1!I38</f>
        <v>70</v>
      </c>
      <c r="H38" s="1"/>
      <c r="I38" s="36">
        <f>input_Q1!K38</f>
        <v>30271</v>
      </c>
    </row>
    <row r="39" spans="4:9" x14ac:dyDescent="0.25">
      <c r="D39" s="35">
        <f>input_Q1!F39</f>
        <v>32</v>
      </c>
      <c r="E39" s="1">
        <f>input_Q1!G39</f>
        <v>48</v>
      </c>
      <c r="F39" s="1">
        <f>input_Q1!H39</f>
        <v>46</v>
      </c>
      <c r="G39" s="1">
        <f>input_Q1!I39</f>
        <v>27</v>
      </c>
      <c r="H39" s="1"/>
      <c r="I39" s="36">
        <f>input_Q1!K39</f>
        <v>31163</v>
      </c>
    </row>
    <row r="40" spans="4:9" x14ac:dyDescent="0.25">
      <c r="D40" s="35">
        <f>input_Q1!F40</f>
        <v>33</v>
      </c>
      <c r="E40" s="1">
        <f>input_Q1!G40</f>
        <v>37</v>
      </c>
      <c r="F40" s="1">
        <f>input_Q1!H40</f>
        <v>38</v>
      </c>
      <c r="G40" s="1">
        <f>input_Q1!I40</f>
        <v>51</v>
      </c>
      <c r="H40" s="1"/>
      <c r="I40" s="36">
        <f>input_Q1!K40</f>
        <v>41641</v>
      </c>
    </row>
    <row r="41" spans="4:9" x14ac:dyDescent="0.25">
      <c r="D41" s="35">
        <f>input_Q1!F41</f>
        <v>34</v>
      </c>
      <c r="E41" s="1">
        <f>input_Q1!G41</f>
        <v>38</v>
      </c>
      <c r="F41" s="1">
        <f>input_Q1!H41</f>
        <v>60</v>
      </c>
      <c r="G41" s="1">
        <f>input_Q1!I41</f>
        <v>61</v>
      </c>
      <c r="H41" s="1"/>
      <c r="I41" s="36">
        <f>input_Q1!K41</f>
        <v>47715</v>
      </c>
    </row>
    <row r="42" spans="4:9" x14ac:dyDescent="0.25">
      <c r="D42" s="35">
        <f>input_Q1!F42</f>
        <v>35</v>
      </c>
      <c r="E42" s="1">
        <f>input_Q1!G42</f>
        <v>28</v>
      </c>
      <c r="F42" s="1">
        <f>input_Q1!H42</f>
        <v>73</v>
      </c>
      <c r="G42" s="1">
        <f>input_Q1!I42</f>
        <v>29</v>
      </c>
      <c r="H42" s="1"/>
      <c r="I42" s="36">
        <f>input_Q1!K42</f>
        <v>49235</v>
      </c>
    </row>
    <row r="43" spans="4:9" x14ac:dyDescent="0.25">
      <c r="D43" s="35">
        <f>input_Q1!F43</f>
        <v>36</v>
      </c>
      <c r="E43" s="1">
        <f>input_Q1!G43</f>
        <v>31</v>
      </c>
      <c r="F43" s="1">
        <f>input_Q1!H43</f>
        <v>51</v>
      </c>
      <c r="G43" s="1">
        <f>input_Q1!I43</f>
        <v>54</v>
      </c>
      <c r="H43" s="1"/>
      <c r="I43" s="36">
        <f>input_Q1!K43</f>
        <v>44273</v>
      </c>
    </row>
    <row r="44" spans="4:9" x14ac:dyDescent="0.25">
      <c r="D44" s="35">
        <f>input_Q1!F44</f>
        <v>37</v>
      </c>
      <c r="E44" s="1">
        <f>input_Q1!G44</f>
        <v>26</v>
      </c>
      <c r="F44" s="1">
        <f>input_Q1!H44</f>
        <v>72</v>
      </c>
      <c r="G44" s="1">
        <f>input_Q1!I44</f>
        <v>50</v>
      </c>
      <c r="H44" s="1"/>
      <c r="I44" s="36">
        <f>input_Q1!K44</f>
        <v>48131</v>
      </c>
    </row>
    <row r="45" spans="4:9" x14ac:dyDescent="0.25">
      <c r="D45" s="35">
        <f>input_Q1!F45</f>
        <v>38</v>
      </c>
      <c r="E45" s="1">
        <f>input_Q1!G45</f>
        <v>43</v>
      </c>
      <c r="F45" s="1">
        <f>input_Q1!H45</f>
        <v>43</v>
      </c>
      <c r="G45" s="1">
        <f>input_Q1!I45</f>
        <v>27</v>
      </c>
      <c r="H45" s="1"/>
      <c r="I45" s="36">
        <f>input_Q1!K45</f>
        <v>45918</v>
      </c>
    </row>
    <row r="46" spans="4:9" x14ac:dyDescent="0.25">
      <c r="D46" s="35">
        <f>input_Q1!F46</f>
        <v>39</v>
      </c>
      <c r="E46" s="1">
        <f>input_Q1!G46</f>
        <v>25</v>
      </c>
      <c r="F46" s="1">
        <f>input_Q1!H46</f>
        <v>47</v>
      </c>
      <c r="G46" s="1">
        <f>input_Q1!I46</f>
        <v>95</v>
      </c>
      <c r="H46" s="1"/>
      <c r="I46" s="36">
        <f>input_Q1!K46</f>
        <v>41602</v>
      </c>
    </row>
    <row r="47" spans="4:9" x14ac:dyDescent="0.25">
      <c r="D47" s="35">
        <f>input_Q1!F47</f>
        <v>40</v>
      </c>
      <c r="E47" s="1">
        <f>input_Q1!G47</f>
        <v>40</v>
      </c>
      <c r="F47" s="1">
        <f>input_Q1!H47</f>
        <v>53</v>
      </c>
      <c r="G47" s="1">
        <f>input_Q1!I47</f>
        <v>99</v>
      </c>
      <c r="H47" s="1"/>
      <c r="I47" s="36">
        <f>input_Q1!K47</f>
        <v>24146</v>
      </c>
    </row>
    <row r="48" spans="4:9" x14ac:dyDescent="0.25">
      <c r="D48" s="35">
        <f>input_Q1!F48</f>
        <v>41</v>
      </c>
      <c r="E48" s="1">
        <f>input_Q1!G48</f>
        <v>44</v>
      </c>
      <c r="F48" s="1">
        <f>input_Q1!H48</f>
        <v>50</v>
      </c>
      <c r="G48" s="1">
        <f>input_Q1!I48</f>
        <v>26</v>
      </c>
      <c r="H48" s="1"/>
      <c r="I48" s="36">
        <f>input_Q1!K48</f>
        <v>37104</v>
      </c>
    </row>
    <row r="49" spans="4:9" x14ac:dyDescent="0.25">
      <c r="D49" s="35">
        <f>input_Q1!F49</f>
        <v>42</v>
      </c>
      <c r="E49" s="1">
        <f>input_Q1!G49</f>
        <v>42</v>
      </c>
      <c r="F49" s="1">
        <f>input_Q1!H49</f>
        <v>63</v>
      </c>
      <c r="G49" s="1">
        <f>input_Q1!I49</f>
        <v>33</v>
      </c>
      <c r="H49" s="1"/>
      <c r="I49" s="36">
        <f>input_Q1!K49</f>
        <v>41831</v>
      </c>
    </row>
    <row r="50" spans="4:9" x14ac:dyDescent="0.25">
      <c r="D50" s="35">
        <f>input_Q1!F50</f>
        <v>43</v>
      </c>
      <c r="E50" s="1">
        <f>input_Q1!G50</f>
        <v>35</v>
      </c>
      <c r="F50" s="1">
        <f>input_Q1!H50</f>
        <v>37</v>
      </c>
      <c r="G50" s="1">
        <f>input_Q1!I50</f>
        <v>31</v>
      </c>
      <c r="H50" s="1"/>
      <c r="I50" s="36">
        <f>input_Q1!K50</f>
        <v>30997</v>
      </c>
    </row>
    <row r="51" spans="4:9" x14ac:dyDescent="0.25">
      <c r="D51" s="35">
        <f>input_Q1!F51</f>
        <v>44</v>
      </c>
      <c r="E51" s="1">
        <f>input_Q1!G51</f>
        <v>50</v>
      </c>
      <c r="F51" s="1">
        <f>input_Q1!H51</f>
        <v>38</v>
      </c>
      <c r="G51" s="1">
        <f>input_Q1!I51</f>
        <v>27</v>
      </c>
      <c r="H51" s="1"/>
      <c r="I51" s="36">
        <f>input_Q1!K51</f>
        <v>29424</v>
      </c>
    </row>
    <row r="52" spans="4:9" x14ac:dyDescent="0.25">
      <c r="D52" s="35">
        <f>input_Q1!F52</f>
        <v>45</v>
      </c>
      <c r="E52" s="1">
        <f>input_Q1!G52</f>
        <v>28</v>
      </c>
      <c r="F52" s="1">
        <f>input_Q1!H52</f>
        <v>52</v>
      </c>
      <c r="G52" s="1">
        <f>input_Q1!I52</f>
        <v>69</v>
      </c>
      <c r="H52" s="1"/>
      <c r="I52" s="36">
        <f>input_Q1!K52</f>
        <v>34870</v>
      </c>
    </row>
    <row r="53" spans="4:9" x14ac:dyDescent="0.25">
      <c r="D53" s="35">
        <f>input_Q1!F53</f>
        <v>46</v>
      </c>
      <c r="E53" s="1">
        <f>input_Q1!G53</f>
        <v>41</v>
      </c>
      <c r="F53" s="1">
        <f>input_Q1!H53</f>
        <v>40</v>
      </c>
      <c r="G53" s="1">
        <f>input_Q1!I53</f>
        <v>80</v>
      </c>
      <c r="H53" s="1"/>
      <c r="I53" s="36">
        <f>input_Q1!K53</f>
        <v>46312</v>
      </c>
    </row>
    <row r="54" spans="4:9" x14ac:dyDescent="0.25">
      <c r="D54" s="35">
        <f>input_Q1!F54</f>
        <v>47</v>
      </c>
      <c r="E54" s="1">
        <f>input_Q1!G54</f>
        <v>44</v>
      </c>
      <c r="F54" s="1">
        <f>input_Q1!H54</f>
        <v>61</v>
      </c>
      <c r="G54" s="1">
        <f>input_Q1!I54</f>
        <v>31</v>
      </c>
      <c r="H54" s="1"/>
      <c r="I54" s="36">
        <f>input_Q1!K54</f>
        <v>22108</v>
      </c>
    </row>
    <row r="55" spans="4:9" x14ac:dyDescent="0.25">
      <c r="D55" s="35">
        <f>input_Q1!F55</f>
        <v>48</v>
      </c>
      <c r="E55" s="1">
        <f>input_Q1!G55</f>
        <v>43</v>
      </c>
      <c r="F55" s="1">
        <f>input_Q1!H55</f>
        <v>34</v>
      </c>
      <c r="G55" s="1">
        <f>input_Q1!I55</f>
        <v>63</v>
      </c>
      <c r="H55" s="1"/>
      <c r="I55" s="36">
        <f>input_Q1!K55</f>
        <v>24652</v>
      </c>
    </row>
    <row r="56" spans="4:9" x14ac:dyDescent="0.25">
      <c r="D56" s="35">
        <f>input_Q1!F56</f>
        <v>49</v>
      </c>
      <c r="E56" s="1">
        <f>input_Q1!G56</f>
        <v>41</v>
      </c>
      <c r="F56" s="1">
        <f>input_Q1!H56</f>
        <v>72</v>
      </c>
      <c r="G56" s="1">
        <f>input_Q1!I56</f>
        <v>97</v>
      </c>
      <c r="H56" s="1"/>
      <c r="I56" s="36">
        <f>input_Q1!K56</f>
        <v>24118</v>
      </c>
    </row>
    <row r="57" spans="4:9" x14ac:dyDescent="0.25">
      <c r="D57" s="35">
        <f>input_Q1!F57</f>
        <v>50</v>
      </c>
      <c r="E57" s="1">
        <f>input_Q1!G57</f>
        <v>31</v>
      </c>
      <c r="F57" s="1">
        <f>input_Q1!H57</f>
        <v>61</v>
      </c>
      <c r="G57" s="1">
        <f>input_Q1!I57</f>
        <v>85</v>
      </c>
      <c r="H57" s="1"/>
      <c r="I57" s="36">
        <f>input_Q1!K57</f>
        <v>28161</v>
      </c>
    </row>
    <row r="58" spans="4:9" x14ac:dyDescent="0.25">
      <c r="D58" s="35">
        <f>input_Q1!F58</f>
        <v>51</v>
      </c>
      <c r="E58" s="1">
        <f>input_Q1!G58</f>
        <v>38</v>
      </c>
      <c r="F58" s="1">
        <f>input_Q1!H58</f>
        <v>26</v>
      </c>
      <c r="G58" s="1">
        <f>input_Q1!I58</f>
        <v>30</v>
      </c>
      <c r="H58" s="1"/>
      <c r="I58" s="36">
        <f>input_Q1!K58</f>
        <v>38743</v>
      </c>
    </row>
    <row r="59" spans="4:9" x14ac:dyDescent="0.25">
      <c r="D59" s="35">
        <f>input_Q1!F59</f>
        <v>52</v>
      </c>
      <c r="E59" s="1">
        <f>input_Q1!G59</f>
        <v>38</v>
      </c>
      <c r="F59" s="1">
        <f>input_Q1!H59</f>
        <v>53</v>
      </c>
      <c r="G59" s="1">
        <f>input_Q1!I59</f>
        <v>35</v>
      </c>
      <c r="H59" s="1"/>
      <c r="I59" s="36">
        <f>input_Q1!K59</f>
        <v>30907</v>
      </c>
    </row>
    <row r="60" spans="4:9" x14ac:dyDescent="0.25">
      <c r="D60" s="35">
        <f>input_Q1!F60</f>
        <v>53</v>
      </c>
      <c r="E60" s="1">
        <f>input_Q1!G60</f>
        <v>32</v>
      </c>
      <c r="F60" s="1">
        <f>input_Q1!H60</f>
        <v>57</v>
      </c>
      <c r="G60" s="1">
        <f>input_Q1!I60</f>
        <v>36</v>
      </c>
      <c r="H60" s="1"/>
      <c r="I60" s="36">
        <f>input_Q1!K60</f>
        <v>28515</v>
      </c>
    </row>
    <row r="61" spans="4:9" x14ac:dyDescent="0.25">
      <c r="D61" s="35">
        <f>input_Q1!F61</f>
        <v>54</v>
      </c>
      <c r="E61" s="1">
        <f>input_Q1!G61</f>
        <v>47</v>
      </c>
      <c r="F61" s="1">
        <f>input_Q1!H61</f>
        <v>32</v>
      </c>
      <c r="G61" s="1">
        <f>input_Q1!I61</f>
        <v>76</v>
      </c>
      <c r="H61" s="1"/>
      <c r="I61" s="36">
        <f>input_Q1!K61</f>
        <v>38404</v>
      </c>
    </row>
    <row r="62" spans="4:9" x14ac:dyDescent="0.25">
      <c r="D62" s="35">
        <f>input_Q1!F62</f>
        <v>55</v>
      </c>
      <c r="E62" s="1">
        <f>input_Q1!G62</f>
        <v>42</v>
      </c>
      <c r="F62" s="1">
        <f>input_Q1!H62</f>
        <v>46</v>
      </c>
      <c r="G62" s="1">
        <f>input_Q1!I62</f>
        <v>61</v>
      </c>
      <c r="H62" s="1"/>
      <c r="I62" s="36">
        <f>input_Q1!K62</f>
        <v>29255</v>
      </c>
    </row>
    <row r="63" spans="4:9" x14ac:dyDescent="0.25">
      <c r="D63" s="35">
        <f>input_Q1!F63</f>
        <v>56</v>
      </c>
      <c r="E63" s="1">
        <f>input_Q1!G63</f>
        <v>29</v>
      </c>
      <c r="F63" s="1">
        <f>input_Q1!H63</f>
        <v>71</v>
      </c>
      <c r="G63" s="1">
        <f>input_Q1!I63</f>
        <v>73</v>
      </c>
      <c r="H63" s="1"/>
      <c r="I63" s="36">
        <f>input_Q1!K63</f>
        <v>27799</v>
      </c>
    </row>
    <row r="64" spans="4:9" ht="15.75" thickBot="1" x14ac:dyDescent="0.3">
      <c r="D64" s="37">
        <f>input_Q1!F64</f>
        <v>57</v>
      </c>
      <c r="E64" s="38">
        <f>input_Q1!G64</f>
        <v>36</v>
      </c>
      <c r="F64" s="38">
        <f>input_Q1!H64</f>
        <v>74</v>
      </c>
      <c r="G64" s="38">
        <f>input_Q1!I64</f>
        <v>91</v>
      </c>
      <c r="H64" s="38"/>
      <c r="I64" s="39">
        <f>input_Q1!K64</f>
        <v>31921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70" zoomScaleNormal="70" workbookViewId="0">
      <selection activeCell="J16" sqref="J16"/>
    </sheetView>
  </sheetViews>
  <sheetFormatPr defaultColWidth="9.28515625" defaultRowHeight="15" x14ac:dyDescent="0.25"/>
  <cols>
    <col min="1" max="2" width="9.28515625" style="15"/>
    <col min="3" max="3" width="15.28515625" style="15" customWidth="1"/>
    <col min="4" max="4" width="42.28515625" style="15" customWidth="1"/>
    <col min="5" max="5" width="36.28515625" style="15" customWidth="1"/>
    <col min="6" max="6" width="32.28515625" style="15" customWidth="1"/>
    <col min="7" max="7" width="40.42578125" style="15" customWidth="1"/>
    <col min="8" max="8" width="9.28515625" style="15"/>
    <col min="9" max="9" width="25.5703125" style="15" customWidth="1"/>
    <col min="10" max="10" width="15" style="15" customWidth="1"/>
    <col min="11" max="11" width="9.28515625" style="15"/>
    <col min="12" max="12" width="16" style="15" customWidth="1"/>
    <col min="13" max="16384" width="9.28515625" style="15"/>
  </cols>
  <sheetData>
    <row r="1" spans="1:13" x14ac:dyDescent="0.25">
      <c r="A1" s="15">
        <v>1</v>
      </c>
      <c r="I1" s="16"/>
    </row>
    <row r="2" spans="1:13" x14ac:dyDescent="0.25">
      <c r="I2" s="16"/>
    </row>
    <row r="3" spans="1:13" x14ac:dyDescent="0.25">
      <c r="D3" s="17"/>
      <c r="E3" s="18"/>
    </row>
    <row r="4" spans="1:13" x14ac:dyDescent="0.25">
      <c r="D4" s="17"/>
      <c r="E4" s="19"/>
    </row>
    <row r="5" spans="1:13" x14ac:dyDescent="0.25">
      <c r="D5" s="12" t="s">
        <v>18</v>
      </c>
      <c r="E5" s="12" t="s">
        <v>20</v>
      </c>
      <c r="F5" s="12"/>
      <c r="G5" s="12"/>
    </row>
    <row r="6" spans="1:13" x14ac:dyDescent="0.25">
      <c r="D6" s="64"/>
      <c r="E6" s="12"/>
      <c r="F6" s="12"/>
      <c r="G6" s="12"/>
    </row>
    <row r="7" spans="1:13" x14ac:dyDescent="0.25">
      <c r="D7" s="12"/>
      <c r="E7" s="12"/>
      <c r="F7" s="12"/>
      <c r="G7" s="12"/>
    </row>
    <row r="8" spans="1:13" x14ac:dyDescent="0.25">
      <c r="D8" s="12"/>
      <c r="E8" s="12"/>
      <c r="F8" s="12"/>
      <c r="G8" s="12"/>
    </row>
    <row r="9" spans="1:13" x14ac:dyDescent="0.25">
      <c r="C9" s="21"/>
      <c r="D9" s="7"/>
      <c r="E9" s="7"/>
      <c r="F9" s="7"/>
      <c r="G9" s="7"/>
      <c r="H9" s="21"/>
      <c r="I9" s="21"/>
      <c r="J9" s="22"/>
      <c r="K9" s="22"/>
      <c r="L9" s="23"/>
      <c r="M9" s="23"/>
    </row>
    <row r="10" spans="1:13" x14ac:dyDescent="0.25">
      <c r="D10" s="13"/>
      <c r="E10" s="14"/>
      <c r="F10" s="12"/>
      <c r="G10" s="12"/>
      <c r="I10" s="24"/>
    </row>
    <row r="11" spans="1:13" x14ac:dyDescent="0.25">
      <c r="D11" s="13"/>
      <c r="E11" s="14" t="str">
        <f>input_Q1!G6</f>
        <v>Project1</v>
      </c>
      <c r="F11" s="14" t="str">
        <f>input_Q1!H6</f>
        <v>Project2</v>
      </c>
      <c r="G11" s="14" t="str">
        <f>input_Q1!I6</f>
        <v>Project3</v>
      </c>
      <c r="I11" s="24"/>
      <c r="J11" s="25"/>
      <c r="L11" s="24"/>
      <c r="M11" s="26"/>
    </row>
    <row r="12" spans="1:13" x14ac:dyDescent="0.25">
      <c r="D12" s="13"/>
      <c r="E12" s="14"/>
      <c r="F12" s="12"/>
      <c r="G12" s="12"/>
      <c r="I12" s="24"/>
      <c r="J12" s="25"/>
      <c r="L12" s="24"/>
      <c r="M12" s="26"/>
    </row>
    <row r="13" spans="1:13" x14ac:dyDescent="0.25">
      <c r="D13" s="13" t="s">
        <v>13</v>
      </c>
      <c r="E13" s="76">
        <f>'Q1(i)'!N16</f>
        <v>-2.4859713659788066E-4</v>
      </c>
      <c r="F13" s="76">
        <f>'Q1(i)'!O16</f>
        <v>2.3584728786368945E-4</v>
      </c>
      <c r="G13" s="76">
        <f>'Q1(i)'!P16</f>
        <v>3.8305734061143278E-5</v>
      </c>
      <c r="I13" s="24"/>
      <c r="J13" s="25"/>
      <c r="L13" s="24"/>
      <c r="M13" s="26"/>
    </row>
    <row r="14" spans="1:13" x14ac:dyDescent="0.25">
      <c r="D14" s="13" t="s">
        <v>19</v>
      </c>
      <c r="E14" s="14">
        <v>1.1000000000000001</v>
      </c>
      <c r="F14" s="12">
        <v>1.1000000000000001</v>
      </c>
      <c r="G14" s="12">
        <v>1.1000000000000001</v>
      </c>
      <c r="I14" s="24"/>
      <c r="J14" s="25" t="s">
        <v>41</v>
      </c>
      <c r="L14" s="24"/>
      <c r="M14" s="26"/>
    </row>
    <row r="15" spans="1:13" x14ac:dyDescent="0.25">
      <c r="D15" s="13"/>
      <c r="E15" s="14"/>
      <c r="F15" s="12"/>
      <c r="G15" s="12"/>
      <c r="I15" s="24"/>
      <c r="J15" s="25"/>
      <c r="L15" s="24"/>
      <c r="M15" s="26"/>
    </row>
    <row r="16" spans="1:13" x14ac:dyDescent="0.25">
      <c r="D16" s="10" t="s">
        <v>21</v>
      </c>
      <c r="E16" s="9">
        <f>(E14*E13)^2*'Q1(i)'!$R$9^2</f>
        <v>5.5581884178143346</v>
      </c>
      <c r="F16" s="9">
        <f>(F14*F13)^2*'Q1(i)'!$R$9^2</f>
        <v>5.0026808049431351</v>
      </c>
      <c r="G16" s="9">
        <f>(G14*G13)^2*'Q1(i)'!$R$9^2</f>
        <v>0.13196798917921282</v>
      </c>
      <c r="I16" s="24"/>
      <c r="J16" s="25" t="s">
        <v>16</v>
      </c>
      <c r="L16" s="24"/>
      <c r="M16" s="26"/>
    </row>
    <row r="17" spans="1:13" x14ac:dyDescent="0.25">
      <c r="D17" s="13"/>
      <c r="E17" s="14"/>
      <c r="F17" s="12"/>
      <c r="G17" s="12"/>
      <c r="I17" s="24"/>
      <c r="J17" s="25"/>
      <c r="L17" s="24"/>
      <c r="M17" s="26"/>
    </row>
    <row r="18" spans="1:13" x14ac:dyDescent="0.25">
      <c r="A18" s="77" t="s">
        <v>47</v>
      </c>
      <c r="B18" s="77"/>
      <c r="C18" s="77">
        <v>-1.64485362695147</v>
      </c>
      <c r="D18" s="12"/>
      <c r="E18" s="14"/>
      <c r="F18" s="12"/>
      <c r="G18" s="12"/>
      <c r="I18" s="24"/>
      <c r="J18" s="25"/>
      <c r="L18" s="24"/>
      <c r="M18" s="26"/>
    </row>
    <row r="19" spans="1:13" x14ac:dyDescent="0.25">
      <c r="D19" s="13" t="s">
        <v>23</v>
      </c>
      <c r="E19" s="65">
        <f>input_Q1!G4</f>
        <v>-1.5</v>
      </c>
      <c r="F19" s="65">
        <f>input_Q1!H4</f>
        <v>-2</v>
      </c>
      <c r="G19" s="65">
        <f>input_Q1!I4</f>
        <v>-3</v>
      </c>
      <c r="I19" s="24"/>
      <c r="J19" s="25"/>
      <c r="L19" s="24"/>
      <c r="M19" s="26"/>
    </row>
    <row r="20" spans="1:13" x14ac:dyDescent="0.25">
      <c r="D20" s="13"/>
      <c r="E20" s="14"/>
      <c r="F20" s="12"/>
      <c r="G20" s="12"/>
      <c r="I20" s="26"/>
      <c r="J20" s="25"/>
      <c r="L20" s="24"/>
      <c r="M20" s="26"/>
    </row>
    <row r="21" spans="1:13" x14ac:dyDescent="0.25">
      <c r="D21" s="8">
        <v>0.05</v>
      </c>
      <c r="E21" s="66">
        <f>E19/_xlfn.NORM.S.INV($D$21)</f>
        <v>0.91193524786765345</v>
      </c>
      <c r="F21" s="66">
        <f t="shared" ref="F21:G21" si="0">F19/_xlfn.NORM.S.INV($D$21)</f>
        <v>1.2159136638235379</v>
      </c>
      <c r="G21" s="66">
        <f t="shared" si="0"/>
        <v>1.8238704957353069</v>
      </c>
      <c r="I21" s="27"/>
      <c r="J21" s="25" t="s">
        <v>26</v>
      </c>
      <c r="L21" s="24"/>
      <c r="M21" s="26"/>
    </row>
    <row r="22" spans="1:13" x14ac:dyDescent="0.25">
      <c r="C22" s="21"/>
      <c r="D22" s="7"/>
      <c r="E22" s="67"/>
      <c r="F22" s="67"/>
      <c r="G22" s="67"/>
      <c r="H22" s="21"/>
      <c r="I22" s="27"/>
      <c r="J22" s="25"/>
      <c r="L22" s="24"/>
      <c r="M22" s="26"/>
    </row>
    <row r="23" spans="1:13" x14ac:dyDescent="0.25">
      <c r="D23" s="10" t="s">
        <v>22</v>
      </c>
      <c r="E23" s="68">
        <f>E21^2</f>
        <v>0.83162589630343853</v>
      </c>
      <c r="F23" s="68">
        <f t="shared" ref="F23:G23" si="1">F21^2</f>
        <v>1.4784460378727797</v>
      </c>
      <c r="G23" s="68">
        <f t="shared" si="1"/>
        <v>3.3265035852137541</v>
      </c>
      <c r="I23" s="27"/>
      <c r="J23" s="25" t="s">
        <v>25</v>
      </c>
      <c r="L23" s="24"/>
      <c r="M23" s="26"/>
    </row>
    <row r="24" spans="1:13" x14ac:dyDescent="0.25">
      <c r="D24" s="12"/>
      <c r="E24" s="64"/>
      <c r="F24" s="12"/>
      <c r="G24" s="12"/>
      <c r="I24" s="27"/>
      <c r="J24" s="25"/>
      <c r="L24" s="24"/>
      <c r="M24" s="26"/>
    </row>
    <row r="25" spans="1:13" x14ac:dyDescent="0.25">
      <c r="D25" s="12"/>
      <c r="E25" s="64"/>
      <c r="F25" s="12"/>
      <c r="G25" s="12"/>
      <c r="I25" s="27"/>
      <c r="J25" s="25"/>
      <c r="L25" s="20"/>
      <c r="M25" s="26"/>
    </row>
    <row r="26" spans="1:13" x14ac:dyDescent="0.25">
      <c r="D26" s="8" t="s">
        <v>11</v>
      </c>
      <c r="E26" s="69">
        <f>E16+E23</f>
        <v>6.389814314117773</v>
      </c>
      <c r="F26" s="69">
        <f t="shared" ref="F26:G26" si="2">F16+F23</f>
        <v>6.4811268428159146</v>
      </c>
      <c r="G26" s="69">
        <f t="shared" si="2"/>
        <v>3.4584715743929668</v>
      </c>
      <c r="J26" s="15" t="s">
        <v>25</v>
      </c>
    </row>
    <row r="31" spans="1:13" x14ac:dyDescent="0.25">
      <c r="E31" s="28"/>
    </row>
    <row r="36" spans="5:6" x14ac:dyDescent="0.25">
      <c r="E36" s="15" t="s">
        <v>27</v>
      </c>
    </row>
    <row r="38" spans="5:6" x14ac:dyDescent="0.25">
      <c r="E38" s="15" t="s">
        <v>23</v>
      </c>
      <c r="F38" s="15" t="s">
        <v>28</v>
      </c>
    </row>
    <row r="40" spans="5:6" x14ac:dyDescent="0.25">
      <c r="F40" s="15" t="s">
        <v>29</v>
      </c>
    </row>
    <row r="42" spans="5:6" x14ac:dyDescent="0.25">
      <c r="F42" s="15" t="s">
        <v>30</v>
      </c>
    </row>
    <row r="45" spans="5:6" x14ac:dyDescent="0.25">
      <c r="F45" s="15" t="s">
        <v>31</v>
      </c>
    </row>
    <row r="47" spans="5:6" x14ac:dyDescent="0.25">
      <c r="F47" s="15" t="s">
        <v>32</v>
      </c>
    </row>
    <row r="49" spans="6:6" x14ac:dyDescent="0.25">
      <c r="F49" s="15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I22"/>
  <sheetViews>
    <sheetView workbookViewId="0">
      <selection activeCell="D20" sqref="D20"/>
    </sheetView>
  </sheetViews>
  <sheetFormatPr defaultRowHeight="15" x14ac:dyDescent="0.25"/>
  <cols>
    <col min="4" max="4" width="20.42578125" customWidth="1"/>
    <col min="5" max="5" width="12.7109375" bestFit="1" customWidth="1"/>
    <col min="6" max="7" width="11" bestFit="1" customWidth="1"/>
  </cols>
  <sheetData>
    <row r="8" spans="4:9" x14ac:dyDescent="0.25">
      <c r="E8">
        <v>1</v>
      </c>
      <c r="F8">
        <v>2</v>
      </c>
      <c r="G8">
        <v>3</v>
      </c>
    </row>
    <row r="9" spans="4:9" x14ac:dyDescent="0.25">
      <c r="D9" s="1" t="s">
        <v>13</v>
      </c>
      <c r="E9" s="70">
        <f>'Q1(ii)'!E13*'Q1(ii)'!E14</f>
        <v>-2.7345685025766873E-4</v>
      </c>
      <c r="F9" s="70">
        <f>'Q1(ii)'!F13*'Q1(ii)'!F14</f>
        <v>2.5943201665005843E-4</v>
      </c>
      <c r="G9" s="70">
        <f>'Q1(ii)'!G13*'Q1(ii)'!G14</f>
        <v>4.2136307467257612E-5</v>
      </c>
      <c r="I9" t="s">
        <v>25</v>
      </c>
    </row>
    <row r="10" spans="4:9" x14ac:dyDescent="0.25">
      <c r="D10" s="1"/>
      <c r="E10" s="1"/>
      <c r="F10" s="1"/>
      <c r="G10" s="1"/>
    </row>
    <row r="11" spans="4:9" x14ac:dyDescent="0.25">
      <c r="D11" s="1"/>
      <c r="E11" s="1"/>
      <c r="F11" s="1"/>
      <c r="G11" s="1"/>
    </row>
    <row r="12" spans="4:9" x14ac:dyDescent="0.25">
      <c r="D12" s="1"/>
      <c r="E12" s="1"/>
      <c r="F12" s="1"/>
      <c r="G12" s="1"/>
    </row>
    <row r="13" spans="4:9" x14ac:dyDescent="0.25">
      <c r="D13" s="1"/>
      <c r="E13" s="1" t="s">
        <v>34</v>
      </c>
      <c r="F13" s="1" t="s">
        <v>35</v>
      </c>
      <c r="G13" s="1" t="s">
        <v>36</v>
      </c>
    </row>
    <row r="14" spans="4:9" x14ac:dyDescent="0.25">
      <c r="D14" s="1"/>
      <c r="E14" s="1"/>
      <c r="F14" s="1"/>
      <c r="G14" s="1"/>
    </row>
    <row r="15" spans="4:9" x14ac:dyDescent="0.25">
      <c r="D15" s="1" t="s">
        <v>7</v>
      </c>
      <c r="E15" s="1">
        <f>E9*F9*'Q1(i)'!$R$9^2</f>
        <v>-5.2731245488853213</v>
      </c>
      <c r="F15" s="1">
        <f>F9*G9*'Q1(i)'!$R$9^2</f>
        <v>0.81252306203195923</v>
      </c>
      <c r="G15" s="1">
        <f>G9*E9*'Q1(i)'!$R$9^2</f>
        <v>-0.85644786705213294</v>
      </c>
      <c r="I15" t="s">
        <v>24</v>
      </c>
    </row>
    <row r="16" spans="4:9" x14ac:dyDescent="0.25">
      <c r="D16" s="1" t="s">
        <v>11</v>
      </c>
      <c r="E16" s="1">
        <f>'Q1(ii)'!E26</f>
        <v>6.389814314117773</v>
      </c>
      <c r="F16" s="1">
        <f>'Q1(ii)'!F26</f>
        <v>6.4811268428159146</v>
      </c>
      <c r="G16" s="1">
        <f>'Q1(ii)'!G26</f>
        <v>3.4584715743929668</v>
      </c>
    </row>
    <row r="17" spans="4:9" x14ac:dyDescent="0.25">
      <c r="D17" s="1"/>
      <c r="E17" s="1"/>
      <c r="F17" s="1"/>
      <c r="G17" s="1"/>
    </row>
    <row r="18" spans="4:9" x14ac:dyDescent="0.25">
      <c r="D18" s="1" t="s">
        <v>38</v>
      </c>
      <c r="E18" s="1">
        <v>0.5</v>
      </c>
      <c r="F18" s="1">
        <v>0.2</v>
      </c>
      <c r="G18" s="1">
        <v>0.3</v>
      </c>
    </row>
    <row r="19" spans="4:9" x14ac:dyDescent="0.25">
      <c r="D19" s="1" t="s">
        <v>43</v>
      </c>
      <c r="E19" s="1">
        <f>E18^2</f>
        <v>0.25</v>
      </c>
      <c r="F19" s="1">
        <f>F18^2</f>
        <v>4.0000000000000008E-2</v>
      </c>
      <c r="G19" s="1">
        <f>G18^2</f>
        <v>0.09</v>
      </c>
      <c r="I19" t="s">
        <v>25</v>
      </c>
    </row>
    <row r="20" spans="4:9" x14ac:dyDescent="0.25">
      <c r="D20" s="8" t="s">
        <v>44</v>
      </c>
      <c r="E20" s="71">
        <f>SUMPRODUCT(E19:G19,E16:G16)+2*E15*E18*F18+2*F15*F18*G18+2*G15*G18*E18</f>
        <v>0.95390459148857765</v>
      </c>
      <c r="F20" s="1"/>
      <c r="G20" s="1"/>
      <c r="I20" t="s">
        <v>24</v>
      </c>
    </row>
    <row r="21" spans="4:9" x14ac:dyDescent="0.25">
      <c r="D21" s="1"/>
      <c r="E21" s="1"/>
      <c r="F21" s="1"/>
      <c r="G21" s="1"/>
    </row>
    <row r="22" spans="4:9" x14ac:dyDescent="0.25">
      <c r="D22" s="1"/>
      <c r="E22" s="1"/>
      <c r="F22" s="1"/>
      <c r="G2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13"/>
  <sheetViews>
    <sheetView workbookViewId="0">
      <selection activeCell="D14" sqref="D14"/>
    </sheetView>
  </sheetViews>
  <sheetFormatPr defaultRowHeight="15" x14ac:dyDescent="0.25"/>
  <cols>
    <col min="3" max="3" width="17.7109375" customWidth="1"/>
    <col min="4" max="4" width="21" customWidth="1"/>
  </cols>
  <sheetData>
    <row r="6" spans="3:8" x14ac:dyDescent="0.25">
      <c r="C6" s="8" t="s">
        <v>13</v>
      </c>
      <c r="D6" s="72">
        <f>SUMPRODUCT('Q1(iii)'!E18:G18,'Q1(iii)'!E9:G9)</f>
        <v>-7.220112955864541E-5</v>
      </c>
      <c r="E6" s="1"/>
      <c r="F6" s="1"/>
      <c r="H6" t="s">
        <v>42</v>
      </c>
    </row>
    <row r="7" spans="3:8" x14ac:dyDescent="0.25">
      <c r="C7" s="1"/>
      <c r="D7" s="1"/>
      <c r="E7" s="1"/>
      <c r="F7" s="1"/>
    </row>
    <row r="8" spans="3:8" x14ac:dyDescent="0.25">
      <c r="C8" s="8" t="s">
        <v>37</v>
      </c>
      <c r="D8" s="72">
        <f>D6^2*'Q1(i)'!$R$9^2</f>
        <v>0.38747495322856923</v>
      </c>
      <c r="E8" s="1"/>
      <c r="F8" s="1"/>
      <c r="H8" t="s">
        <v>40</v>
      </c>
    </row>
    <row r="9" spans="3:8" x14ac:dyDescent="0.25">
      <c r="C9" s="1"/>
      <c r="D9" s="73"/>
      <c r="E9" s="1"/>
      <c r="F9" s="1"/>
    </row>
    <row r="10" spans="3:8" x14ac:dyDescent="0.25">
      <c r="C10" s="8" t="s">
        <v>22</v>
      </c>
      <c r="D10" s="74">
        <f>SUMPRODUCT('Q1(iii)'!E19:G19,'Q1(ii)'!E23:G23)</f>
        <v>0.56642963826000869</v>
      </c>
      <c r="E10" s="1"/>
      <c r="F10" s="1"/>
      <c r="H10" t="s">
        <v>40</v>
      </c>
    </row>
    <row r="11" spans="3:8" x14ac:dyDescent="0.25">
      <c r="C11" s="1"/>
      <c r="D11" s="73"/>
      <c r="E11" s="1"/>
      <c r="F11" s="1"/>
    </row>
    <row r="12" spans="3:8" x14ac:dyDescent="0.25">
      <c r="C12" s="1"/>
      <c r="D12" s="1"/>
      <c r="E12" s="1"/>
      <c r="F12" s="1"/>
    </row>
    <row r="13" spans="3:8" x14ac:dyDescent="0.25">
      <c r="C13" s="1" t="s">
        <v>39</v>
      </c>
      <c r="D13" s="75">
        <f>D10+D8-'Q1(iii)'!E20</f>
        <v>0</v>
      </c>
      <c r="E13" s="1"/>
      <c r="F13" s="1"/>
      <c r="H13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29"/>
  <sheetViews>
    <sheetView topLeftCell="A7" workbookViewId="0">
      <selection activeCell="F7" sqref="F7"/>
    </sheetView>
  </sheetViews>
  <sheetFormatPr defaultRowHeight="15" x14ac:dyDescent="0.25"/>
  <cols>
    <col min="4" max="4" width="13.140625" customWidth="1"/>
  </cols>
  <sheetData>
    <row r="2" spans="3:19" x14ac:dyDescent="0.25">
      <c r="C2" t="s">
        <v>48</v>
      </c>
    </row>
    <row r="4" spans="3:19" x14ac:dyDescent="0.25">
      <c r="R4" t="s">
        <v>49</v>
      </c>
    </row>
    <row r="5" spans="3:19" ht="60" x14ac:dyDescent="0.25">
      <c r="D5" s="78" t="s">
        <v>50</v>
      </c>
      <c r="E5" s="79">
        <v>1</v>
      </c>
      <c r="F5" s="79">
        <v>2</v>
      </c>
      <c r="G5" s="79">
        <v>3</v>
      </c>
      <c r="H5" s="79">
        <v>4</v>
      </c>
      <c r="I5" s="79">
        <v>5</v>
      </c>
      <c r="J5" s="79">
        <v>6</v>
      </c>
      <c r="K5" s="79">
        <v>7</v>
      </c>
      <c r="L5" s="79">
        <v>8</v>
      </c>
      <c r="M5" s="79">
        <v>9</v>
      </c>
      <c r="N5" s="79">
        <v>10</v>
      </c>
      <c r="O5" s="79">
        <v>11</v>
      </c>
      <c r="P5" s="79">
        <v>12</v>
      </c>
      <c r="Q5" s="79">
        <v>13</v>
      </c>
      <c r="R5" s="80" t="s">
        <v>51</v>
      </c>
      <c r="S5" s="78" t="s">
        <v>52</v>
      </c>
    </row>
    <row r="6" spans="3:19" x14ac:dyDescent="0.25">
      <c r="D6" s="81">
        <v>43891</v>
      </c>
      <c r="E6" s="79">
        <v>10</v>
      </c>
      <c r="F6" s="79">
        <v>17</v>
      </c>
      <c r="G6" s="79">
        <v>18</v>
      </c>
      <c r="H6" s="79">
        <v>13</v>
      </c>
      <c r="I6" s="79">
        <v>10</v>
      </c>
      <c r="J6" s="79">
        <v>7</v>
      </c>
      <c r="K6" s="79">
        <v>5</v>
      </c>
      <c r="L6" s="79">
        <v>4</v>
      </c>
      <c r="M6" s="79">
        <v>5</v>
      </c>
      <c r="N6" s="79">
        <v>3</v>
      </c>
      <c r="O6" s="79">
        <v>2</v>
      </c>
      <c r="P6" s="79">
        <v>1</v>
      </c>
      <c r="Q6" s="79">
        <v>1</v>
      </c>
      <c r="R6" s="79">
        <v>120</v>
      </c>
      <c r="S6" s="82">
        <v>0.8</v>
      </c>
    </row>
    <row r="7" spans="3:19" x14ac:dyDescent="0.25">
      <c r="D7" s="81">
        <v>43922</v>
      </c>
      <c r="E7" s="79">
        <v>11</v>
      </c>
      <c r="F7" s="79">
        <v>14</v>
      </c>
      <c r="G7" s="79">
        <v>17</v>
      </c>
      <c r="H7" s="79">
        <v>16</v>
      </c>
      <c r="I7" s="79">
        <v>12</v>
      </c>
      <c r="J7" s="79">
        <v>6</v>
      </c>
      <c r="K7" s="79">
        <v>4</v>
      </c>
      <c r="L7" s="79">
        <v>4</v>
      </c>
      <c r="M7" s="79">
        <v>3</v>
      </c>
      <c r="N7" s="79">
        <v>1</v>
      </c>
      <c r="O7" s="79">
        <v>1</v>
      </c>
      <c r="P7" s="79">
        <v>1</v>
      </c>
      <c r="Q7" s="79"/>
      <c r="R7" s="79">
        <v>115</v>
      </c>
      <c r="S7" s="82">
        <v>0.8</v>
      </c>
    </row>
    <row r="8" spans="3:19" x14ac:dyDescent="0.25">
      <c r="D8" s="81">
        <v>43952</v>
      </c>
      <c r="E8" s="79">
        <v>9</v>
      </c>
      <c r="F8" s="79">
        <v>15</v>
      </c>
      <c r="G8" s="79">
        <v>16</v>
      </c>
      <c r="H8" s="79">
        <v>15</v>
      </c>
      <c r="I8" s="79">
        <v>10</v>
      </c>
      <c r="J8" s="79">
        <v>8</v>
      </c>
      <c r="K8" s="79">
        <v>7</v>
      </c>
      <c r="L8" s="79">
        <v>5</v>
      </c>
      <c r="M8" s="79">
        <v>3</v>
      </c>
      <c r="N8" s="79">
        <v>2</v>
      </c>
      <c r="O8" s="79">
        <v>0</v>
      </c>
      <c r="P8" s="79"/>
      <c r="Q8" s="79"/>
      <c r="R8" s="79">
        <v>118</v>
      </c>
      <c r="S8" s="82">
        <v>0.8</v>
      </c>
    </row>
    <row r="9" spans="3:19" x14ac:dyDescent="0.25">
      <c r="D9" s="81">
        <v>43983</v>
      </c>
      <c r="E9" s="79">
        <v>12</v>
      </c>
      <c r="F9" s="79">
        <v>16</v>
      </c>
      <c r="G9" s="79">
        <v>17</v>
      </c>
      <c r="H9" s="79">
        <v>11</v>
      </c>
      <c r="I9" s="79">
        <v>11</v>
      </c>
      <c r="J9" s="79">
        <v>7</v>
      </c>
      <c r="K9" s="79">
        <v>6</v>
      </c>
      <c r="L9" s="79">
        <v>4</v>
      </c>
      <c r="M9" s="79">
        <v>2</v>
      </c>
      <c r="N9" s="79">
        <v>2</v>
      </c>
      <c r="O9" s="79"/>
      <c r="P9" s="79"/>
      <c r="Q9" s="79"/>
      <c r="R9" s="79">
        <v>121</v>
      </c>
      <c r="S9" s="82">
        <v>0.8</v>
      </c>
    </row>
    <row r="10" spans="3:19" x14ac:dyDescent="0.25">
      <c r="D10" s="81">
        <v>44013</v>
      </c>
      <c r="E10" s="79">
        <v>11</v>
      </c>
      <c r="F10" s="79">
        <v>17</v>
      </c>
      <c r="G10" s="79">
        <v>17</v>
      </c>
      <c r="H10" s="79">
        <v>10</v>
      </c>
      <c r="I10" s="79">
        <v>11</v>
      </c>
      <c r="J10" s="79">
        <v>8</v>
      </c>
      <c r="K10" s="79">
        <v>5</v>
      </c>
      <c r="L10" s="79">
        <v>5</v>
      </c>
      <c r="M10" s="79">
        <v>3</v>
      </c>
      <c r="N10" s="79"/>
      <c r="O10" s="79"/>
      <c r="P10" s="79"/>
      <c r="Q10" s="79"/>
      <c r="R10" s="79">
        <v>123</v>
      </c>
      <c r="S10" s="82">
        <v>0.8</v>
      </c>
    </row>
    <row r="11" spans="3:19" x14ac:dyDescent="0.25">
      <c r="D11" s="81">
        <v>44044</v>
      </c>
      <c r="E11" s="79">
        <v>12</v>
      </c>
      <c r="F11" s="79">
        <v>15</v>
      </c>
      <c r="G11" s="79">
        <v>14</v>
      </c>
      <c r="H11" s="79">
        <v>12</v>
      </c>
      <c r="I11" s="79">
        <v>10</v>
      </c>
      <c r="J11" s="79">
        <v>10</v>
      </c>
      <c r="K11" s="79">
        <v>7</v>
      </c>
      <c r="L11" s="79">
        <v>4</v>
      </c>
      <c r="M11" s="79"/>
      <c r="N11" s="79"/>
      <c r="O11" s="79"/>
      <c r="P11" s="79"/>
      <c r="Q11" s="79"/>
      <c r="R11" s="79">
        <v>120</v>
      </c>
      <c r="S11" s="82">
        <v>0.8</v>
      </c>
    </row>
    <row r="12" spans="3:19" x14ac:dyDescent="0.25">
      <c r="D12" s="81">
        <v>44075</v>
      </c>
      <c r="E12" s="79">
        <v>2</v>
      </c>
      <c r="F12" s="79">
        <v>4</v>
      </c>
      <c r="G12" s="79">
        <v>32</v>
      </c>
      <c r="H12" s="79">
        <v>24</v>
      </c>
      <c r="I12" s="79">
        <v>20</v>
      </c>
      <c r="J12" s="79">
        <v>10</v>
      </c>
      <c r="K12" s="79">
        <v>7</v>
      </c>
      <c r="L12" s="79"/>
      <c r="M12" s="79"/>
      <c r="N12" s="79"/>
      <c r="O12" s="79"/>
      <c r="P12" s="79"/>
      <c r="Q12" s="79"/>
      <c r="R12" s="79">
        <v>90</v>
      </c>
      <c r="S12" s="82">
        <v>1.2</v>
      </c>
    </row>
    <row r="13" spans="3:19" x14ac:dyDescent="0.25">
      <c r="D13" s="81">
        <v>44105</v>
      </c>
      <c r="E13" s="79">
        <v>3</v>
      </c>
      <c r="F13" s="79">
        <v>31</v>
      </c>
      <c r="G13" s="79">
        <v>28</v>
      </c>
      <c r="H13" s="79">
        <v>18</v>
      </c>
      <c r="I13" s="79">
        <v>11</v>
      </c>
      <c r="J13" s="79">
        <v>8</v>
      </c>
      <c r="K13" s="79"/>
      <c r="L13" s="79"/>
      <c r="M13" s="79"/>
      <c r="N13" s="79"/>
      <c r="O13" s="79"/>
      <c r="P13" s="79"/>
      <c r="Q13" s="79"/>
      <c r="R13" s="79">
        <v>85</v>
      </c>
      <c r="S13" s="82">
        <v>1.4</v>
      </c>
    </row>
    <row r="14" spans="3:19" x14ac:dyDescent="0.25">
      <c r="D14" s="81">
        <v>44136</v>
      </c>
      <c r="E14" s="79">
        <v>72</v>
      </c>
      <c r="F14" s="79">
        <v>90</v>
      </c>
      <c r="G14" s="79">
        <v>78</v>
      </c>
      <c r="H14" s="79">
        <v>51</v>
      </c>
      <c r="I14" s="79">
        <v>32</v>
      </c>
      <c r="J14" s="79"/>
      <c r="K14" s="79"/>
      <c r="L14" s="79"/>
      <c r="M14" s="79"/>
      <c r="N14" s="79"/>
      <c r="O14" s="79"/>
      <c r="P14" s="79"/>
      <c r="Q14" s="79"/>
      <c r="R14" s="79">
        <v>145</v>
      </c>
      <c r="S14" s="82">
        <v>2.75</v>
      </c>
    </row>
    <row r="15" spans="3:19" x14ac:dyDescent="0.25">
      <c r="D15" s="81">
        <v>44166</v>
      </c>
      <c r="E15" s="79">
        <v>74</v>
      </c>
      <c r="F15" s="79">
        <v>65</v>
      </c>
      <c r="G15" s="79">
        <v>62</v>
      </c>
      <c r="H15" s="79">
        <v>41</v>
      </c>
      <c r="I15" s="79"/>
      <c r="J15" s="79"/>
      <c r="K15" s="79"/>
      <c r="L15" s="79"/>
      <c r="M15" s="79"/>
      <c r="N15" s="79"/>
      <c r="O15" s="79"/>
      <c r="P15" s="79"/>
      <c r="Q15" s="79"/>
      <c r="R15" s="79">
        <v>180</v>
      </c>
      <c r="S15" s="82">
        <v>1.8</v>
      </c>
    </row>
    <row r="16" spans="3:19" x14ac:dyDescent="0.25">
      <c r="D16" s="81">
        <v>44197</v>
      </c>
      <c r="E16" s="79">
        <v>71</v>
      </c>
      <c r="F16" s="79">
        <v>67</v>
      </c>
      <c r="G16" s="79">
        <v>52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>
        <v>215</v>
      </c>
      <c r="S16" s="82">
        <v>1.45</v>
      </c>
    </row>
    <row r="17" spans="3:19" x14ac:dyDescent="0.25">
      <c r="D17" s="81">
        <v>44228</v>
      </c>
      <c r="E17" s="79">
        <v>81</v>
      </c>
      <c r="F17" s="79">
        <v>56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>
        <v>220</v>
      </c>
      <c r="S17" s="82">
        <v>1.4</v>
      </c>
    </row>
    <row r="18" spans="3:19" x14ac:dyDescent="0.25">
      <c r="D18" s="81">
        <v>44256</v>
      </c>
      <c r="E18" s="79">
        <v>78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>
        <v>215</v>
      </c>
      <c r="S18" s="82">
        <v>1.4</v>
      </c>
    </row>
    <row r="21" spans="3:19" x14ac:dyDescent="0.25">
      <c r="C21" t="s">
        <v>53</v>
      </c>
    </row>
    <row r="23" spans="3:19" ht="60" x14ac:dyDescent="0.25">
      <c r="D23" s="78" t="s">
        <v>50</v>
      </c>
      <c r="E23" s="79">
        <v>1</v>
      </c>
      <c r="F23" s="79">
        <v>2</v>
      </c>
      <c r="G23" s="79">
        <v>3</v>
      </c>
      <c r="H23" s="79">
        <v>4</v>
      </c>
      <c r="I23" s="79">
        <v>5</v>
      </c>
      <c r="J23" s="79">
        <v>6</v>
      </c>
    </row>
    <row r="24" spans="3:19" x14ac:dyDescent="0.25">
      <c r="D24" s="81">
        <v>44105</v>
      </c>
      <c r="E24" s="79">
        <v>3</v>
      </c>
      <c r="F24" s="79">
        <v>31</v>
      </c>
      <c r="G24" s="79">
        <v>28</v>
      </c>
      <c r="H24" s="79">
        <v>18</v>
      </c>
      <c r="I24" s="79">
        <v>11</v>
      </c>
      <c r="J24" s="79">
        <v>8</v>
      </c>
    </row>
    <row r="25" spans="3:19" x14ac:dyDescent="0.25">
      <c r="D25" s="81">
        <v>44136</v>
      </c>
      <c r="E25" s="79">
        <v>72</v>
      </c>
      <c r="F25" s="79">
        <v>90</v>
      </c>
      <c r="G25" s="79">
        <v>78</v>
      </c>
      <c r="H25" s="79">
        <v>51</v>
      </c>
      <c r="I25" s="79">
        <v>32</v>
      </c>
      <c r="J25" s="79"/>
    </row>
    <row r="26" spans="3:19" x14ac:dyDescent="0.25">
      <c r="D26" s="81">
        <v>44166</v>
      </c>
      <c r="E26" s="79">
        <v>74</v>
      </c>
      <c r="F26" s="79">
        <v>65</v>
      </c>
      <c r="G26" s="79">
        <v>62</v>
      </c>
      <c r="H26" s="79">
        <v>41</v>
      </c>
      <c r="I26" s="79"/>
      <c r="J26" s="79"/>
    </row>
    <row r="27" spans="3:19" x14ac:dyDescent="0.25">
      <c r="D27" s="81">
        <v>44197</v>
      </c>
      <c r="E27" s="79">
        <v>71</v>
      </c>
      <c r="F27" s="79">
        <v>67</v>
      </c>
      <c r="G27" s="79">
        <v>52</v>
      </c>
      <c r="H27" s="79"/>
      <c r="I27" s="79"/>
      <c r="J27" s="79"/>
    </row>
    <row r="28" spans="3:19" x14ac:dyDescent="0.25">
      <c r="D28" s="81">
        <v>44228</v>
      </c>
      <c r="E28" s="79">
        <v>81</v>
      </c>
      <c r="F28" s="79">
        <v>56</v>
      </c>
      <c r="G28" s="79"/>
      <c r="H28" s="79"/>
      <c r="I28" s="79"/>
      <c r="J28" s="79"/>
    </row>
    <row r="29" spans="3:19" x14ac:dyDescent="0.25">
      <c r="D29" s="81">
        <v>44256</v>
      </c>
      <c r="E29" s="79">
        <v>78</v>
      </c>
      <c r="F29" s="79"/>
      <c r="G29" s="79"/>
      <c r="H29" s="79"/>
      <c r="I29" s="79"/>
      <c r="J29" s="7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64"/>
  <sheetViews>
    <sheetView topLeftCell="B53" workbookViewId="0">
      <selection activeCell="S57" sqref="S57"/>
    </sheetView>
  </sheetViews>
  <sheetFormatPr defaultRowHeight="15" x14ac:dyDescent="0.25"/>
  <sheetData>
    <row r="2" spans="4:17" x14ac:dyDescent="0.25">
      <c r="D2" s="83" t="s">
        <v>54</v>
      </c>
    </row>
    <row r="4" spans="4:17" ht="75" x14ac:dyDescent="0.25">
      <c r="D4" s="84" t="s">
        <v>50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</row>
    <row r="5" spans="4:17" x14ac:dyDescent="0.25">
      <c r="D5" s="86">
        <v>43891</v>
      </c>
      <c r="E5" s="85">
        <v>10</v>
      </c>
      <c r="F5" s="85">
        <v>17</v>
      </c>
      <c r="G5" s="85">
        <v>18</v>
      </c>
      <c r="H5" s="85">
        <v>13</v>
      </c>
      <c r="I5" s="85">
        <v>10</v>
      </c>
      <c r="J5" s="85">
        <v>7</v>
      </c>
      <c r="K5" s="79">
        <v>5</v>
      </c>
      <c r="L5" s="79">
        <v>4</v>
      </c>
      <c r="M5" s="79">
        <v>5</v>
      </c>
      <c r="N5" s="85">
        <v>3</v>
      </c>
      <c r="O5" s="85">
        <v>2</v>
      </c>
      <c r="P5" s="85">
        <v>1</v>
      </c>
      <c r="Q5" s="85">
        <v>1</v>
      </c>
    </row>
    <row r="6" spans="4:17" x14ac:dyDescent="0.25">
      <c r="D6" s="86">
        <v>43922</v>
      </c>
      <c r="E6" s="85">
        <v>11</v>
      </c>
      <c r="F6" s="85">
        <v>14</v>
      </c>
      <c r="G6" s="85">
        <v>17</v>
      </c>
      <c r="H6" s="85">
        <v>16</v>
      </c>
      <c r="I6" s="85">
        <v>12</v>
      </c>
      <c r="J6" s="85">
        <v>6</v>
      </c>
      <c r="K6" s="79">
        <v>4</v>
      </c>
      <c r="L6" s="79">
        <v>4</v>
      </c>
      <c r="M6" s="79">
        <v>3</v>
      </c>
      <c r="N6" s="85">
        <v>1</v>
      </c>
      <c r="O6" s="85">
        <v>1</v>
      </c>
      <c r="P6" s="85">
        <v>1</v>
      </c>
      <c r="Q6" s="85"/>
    </row>
    <row r="7" spans="4:17" x14ac:dyDescent="0.25">
      <c r="D7" s="86">
        <v>43952</v>
      </c>
      <c r="E7" s="85">
        <v>9</v>
      </c>
      <c r="F7" s="85">
        <v>15</v>
      </c>
      <c r="G7" s="85">
        <v>16</v>
      </c>
      <c r="H7" s="85">
        <v>15</v>
      </c>
      <c r="I7" s="85">
        <v>10</v>
      </c>
      <c r="J7" s="85">
        <v>8</v>
      </c>
      <c r="K7" s="79">
        <v>7</v>
      </c>
      <c r="L7" s="79">
        <v>5</v>
      </c>
      <c r="M7" s="79">
        <v>3</v>
      </c>
      <c r="N7" s="85">
        <v>2</v>
      </c>
      <c r="O7" s="85">
        <v>0</v>
      </c>
      <c r="P7" s="85"/>
      <c r="Q7" s="85"/>
    </row>
    <row r="8" spans="4:17" x14ac:dyDescent="0.25">
      <c r="D8" s="86">
        <v>43983</v>
      </c>
      <c r="E8" s="85">
        <v>12</v>
      </c>
      <c r="F8" s="85">
        <v>16</v>
      </c>
      <c r="G8" s="85">
        <v>17</v>
      </c>
      <c r="H8" s="85">
        <v>11</v>
      </c>
      <c r="I8" s="85">
        <v>11</v>
      </c>
      <c r="J8" s="85">
        <v>7</v>
      </c>
      <c r="K8" s="79">
        <v>6</v>
      </c>
      <c r="L8" s="79">
        <v>4</v>
      </c>
      <c r="M8" s="79">
        <v>2</v>
      </c>
      <c r="N8" s="85">
        <v>2</v>
      </c>
      <c r="O8" s="85"/>
      <c r="P8" s="85"/>
      <c r="Q8" s="85"/>
    </row>
    <row r="9" spans="4:17" x14ac:dyDescent="0.25">
      <c r="D9" s="86">
        <v>44013</v>
      </c>
      <c r="E9" s="85">
        <v>11</v>
      </c>
      <c r="F9" s="85">
        <v>17</v>
      </c>
      <c r="G9" s="85">
        <v>17</v>
      </c>
      <c r="H9" s="85">
        <v>10</v>
      </c>
      <c r="I9" s="85">
        <v>11</v>
      </c>
      <c r="J9" s="85">
        <v>8</v>
      </c>
      <c r="K9" s="79">
        <v>5</v>
      </c>
      <c r="L9" s="79">
        <v>5</v>
      </c>
      <c r="M9" s="79">
        <v>3</v>
      </c>
      <c r="N9" s="85"/>
      <c r="O9" s="85"/>
      <c r="P9" s="85"/>
      <c r="Q9" s="85"/>
    </row>
    <row r="10" spans="4:17" x14ac:dyDescent="0.25">
      <c r="D10" s="86">
        <v>44044</v>
      </c>
      <c r="E10" s="85">
        <v>12</v>
      </c>
      <c r="F10" s="85">
        <v>15</v>
      </c>
      <c r="G10" s="85">
        <v>14</v>
      </c>
      <c r="H10" s="85">
        <v>12</v>
      </c>
      <c r="I10" s="85">
        <v>10</v>
      </c>
      <c r="J10" s="85">
        <v>10</v>
      </c>
      <c r="K10" s="79">
        <v>7</v>
      </c>
      <c r="L10" s="79">
        <v>4</v>
      </c>
      <c r="M10" s="79"/>
      <c r="N10" s="85"/>
      <c r="O10" s="85"/>
      <c r="P10" s="85"/>
      <c r="Q10" s="85"/>
    </row>
    <row r="11" spans="4:17" x14ac:dyDescent="0.25">
      <c r="D11" s="81">
        <v>44075</v>
      </c>
      <c r="E11" s="85">
        <v>2</v>
      </c>
      <c r="F11" s="85">
        <v>4</v>
      </c>
      <c r="G11" s="85">
        <v>32</v>
      </c>
      <c r="H11" s="85">
        <v>24</v>
      </c>
      <c r="I11" s="85">
        <v>20</v>
      </c>
      <c r="J11" s="85">
        <v>10</v>
      </c>
      <c r="K11" s="79">
        <v>7</v>
      </c>
      <c r="L11" s="79"/>
      <c r="M11" s="79"/>
      <c r="N11" s="85"/>
      <c r="O11" s="85"/>
      <c r="P11" s="85"/>
      <c r="Q11" s="85"/>
    </row>
    <row r="12" spans="4:17" x14ac:dyDescent="0.25">
      <c r="D12" s="81">
        <v>44105</v>
      </c>
      <c r="E12" s="85">
        <v>3</v>
      </c>
      <c r="F12" s="85">
        <v>31</v>
      </c>
      <c r="G12" s="85">
        <v>28</v>
      </c>
      <c r="H12" s="85">
        <v>18</v>
      </c>
      <c r="I12" s="85">
        <v>11</v>
      </c>
      <c r="J12" s="85">
        <v>8</v>
      </c>
      <c r="K12" s="79"/>
      <c r="L12" s="79"/>
      <c r="M12" s="79"/>
      <c r="N12" s="85"/>
      <c r="O12" s="85"/>
      <c r="P12" s="85"/>
      <c r="Q12" s="85"/>
    </row>
    <row r="13" spans="4:17" x14ac:dyDescent="0.25">
      <c r="D13" s="86">
        <v>44136</v>
      </c>
      <c r="E13" s="85">
        <v>72</v>
      </c>
      <c r="F13" s="85">
        <v>90</v>
      </c>
      <c r="G13" s="85">
        <v>78</v>
      </c>
      <c r="H13" s="85">
        <v>51</v>
      </c>
      <c r="I13" s="85">
        <v>32</v>
      </c>
      <c r="J13" s="85"/>
      <c r="K13" s="79"/>
      <c r="L13" s="79"/>
      <c r="M13" s="79"/>
      <c r="N13" s="85"/>
      <c r="O13" s="85"/>
      <c r="P13" s="85"/>
      <c r="Q13" s="85"/>
    </row>
    <row r="14" spans="4:17" x14ac:dyDescent="0.25">
      <c r="D14" s="86">
        <v>44166</v>
      </c>
      <c r="E14" s="85">
        <v>74</v>
      </c>
      <c r="F14" s="85">
        <v>65</v>
      </c>
      <c r="G14" s="85">
        <v>62</v>
      </c>
      <c r="H14" s="85">
        <v>41</v>
      </c>
      <c r="I14" s="85"/>
      <c r="J14" s="85"/>
      <c r="K14" s="79"/>
      <c r="L14" s="79"/>
      <c r="M14" s="79"/>
      <c r="N14" s="85"/>
      <c r="O14" s="85"/>
      <c r="P14" s="85"/>
      <c r="Q14" s="85"/>
    </row>
    <row r="15" spans="4:17" x14ac:dyDescent="0.25">
      <c r="D15" s="86">
        <v>44197</v>
      </c>
      <c r="E15" s="85">
        <v>71</v>
      </c>
      <c r="F15" s="85">
        <v>67</v>
      </c>
      <c r="G15" s="85">
        <v>52</v>
      </c>
      <c r="H15" s="85"/>
      <c r="I15" s="85"/>
      <c r="J15" s="85"/>
      <c r="K15" s="79"/>
      <c r="L15" s="79"/>
      <c r="M15" s="79"/>
      <c r="N15" s="85"/>
      <c r="O15" s="85"/>
      <c r="P15" s="85"/>
      <c r="Q15" s="85"/>
    </row>
    <row r="16" spans="4:17" x14ac:dyDescent="0.25">
      <c r="D16" s="86">
        <v>44228</v>
      </c>
      <c r="E16" s="85">
        <v>81</v>
      </c>
      <c r="F16" s="85">
        <v>56</v>
      </c>
      <c r="G16" s="85"/>
      <c r="H16" s="85"/>
      <c r="I16" s="85"/>
      <c r="J16" s="85"/>
      <c r="K16" s="79"/>
      <c r="L16" s="79"/>
      <c r="M16" s="79"/>
      <c r="N16" s="85"/>
      <c r="O16" s="85"/>
      <c r="P16" s="85"/>
      <c r="Q16" s="85"/>
    </row>
    <row r="17" spans="4:17" x14ac:dyDescent="0.25">
      <c r="D17" s="86">
        <v>44256</v>
      </c>
      <c r="E17" s="85">
        <v>78</v>
      </c>
      <c r="F17" s="85"/>
      <c r="G17" s="85"/>
      <c r="H17" s="85"/>
      <c r="I17" s="85"/>
      <c r="J17" s="85"/>
      <c r="K17" s="79"/>
      <c r="L17" s="79"/>
      <c r="M17" s="79"/>
      <c r="N17" s="85"/>
      <c r="O17" s="85"/>
      <c r="P17" s="85"/>
      <c r="Q17" s="85"/>
    </row>
    <row r="19" spans="4:17" x14ac:dyDescent="0.25">
      <c r="D19" t="s">
        <v>55</v>
      </c>
    </row>
    <row r="20" spans="4:17" ht="75" x14ac:dyDescent="0.25">
      <c r="D20" s="84" t="s">
        <v>50</v>
      </c>
      <c r="E20" s="85">
        <v>1</v>
      </c>
      <c r="F20" s="85">
        <v>2</v>
      </c>
      <c r="G20" s="85">
        <v>3</v>
      </c>
      <c r="H20" s="85">
        <v>4</v>
      </c>
      <c r="I20" s="85">
        <v>5</v>
      </c>
      <c r="J20" s="85">
        <v>6</v>
      </c>
      <c r="K20" s="85">
        <v>7</v>
      </c>
      <c r="L20" s="85">
        <v>8</v>
      </c>
      <c r="M20" s="85">
        <v>9</v>
      </c>
      <c r="N20" s="85">
        <v>10</v>
      </c>
      <c r="O20" s="85">
        <v>11</v>
      </c>
      <c r="P20" s="85">
        <v>12</v>
      </c>
      <c r="Q20" s="85">
        <v>13</v>
      </c>
    </row>
    <row r="21" spans="4:17" x14ac:dyDescent="0.25">
      <c r="D21" s="86">
        <v>43891</v>
      </c>
      <c r="E21" s="85">
        <v>10</v>
      </c>
      <c r="F21" s="85">
        <f>SUM($E5:F5)</f>
        <v>27</v>
      </c>
      <c r="G21" s="85">
        <f>SUM($E5:G5)</f>
        <v>45</v>
      </c>
      <c r="H21" s="85">
        <f>SUM($E5:H5)</f>
        <v>58</v>
      </c>
      <c r="I21" s="85">
        <f>SUM($E5:I5)</f>
        <v>68</v>
      </c>
      <c r="J21" s="85">
        <f>SUM($E5:J5)</f>
        <v>75</v>
      </c>
      <c r="K21" s="85">
        <f>SUM($E5:K5)</f>
        <v>80</v>
      </c>
      <c r="L21" s="85">
        <f>SUM($E5:L5)</f>
        <v>84</v>
      </c>
      <c r="M21" s="85">
        <f>SUM($E5:M5)</f>
        <v>89</v>
      </c>
      <c r="N21" s="85">
        <f>SUM($E5:N5)</f>
        <v>92</v>
      </c>
      <c r="O21" s="85">
        <f>SUM($E5:O5)</f>
        <v>94</v>
      </c>
      <c r="P21" s="85">
        <f>SUM($E5:P5)</f>
        <v>95</v>
      </c>
      <c r="Q21" s="85">
        <f>SUM($E5:Q5)</f>
        <v>96</v>
      </c>
    </row>
    <row r="22" spans="4:17" x14ac:dyDescent="0.25">
      <c r="D22" s="86">
        <v>43922</v>
      </c>
      <c r="E22" s="85">
        <v>11</v>
      </c>
      <c r="F22" s="85">
        <f>SUM($E6:F6)</f>
        <v>25</v>
      </c>
      <c r="G22" s="85">
        <f>SUM($E6:G6)</f>
        <v>42</v>
      </c>
      <c r="H22" s="85">
        <f>SUM($E6:H6)</f>
        <v>58</v>
      </c>
      <c r="I22" s="85">
        <f>SUM($E6:I6)</f>
        <v>70</v>
      </c>
      <c r="J22" s="85">
        <f>SUM($E6:J6)</f>
        <v>76</v>
      </c>
      <c r="K22" s="85">
        <f>SUM($E6:K6)</f>
        <v>80</v>
      </c>
      <c r="L22" s="85">
        <f>SUM($E6:L6)</f>
        <v>84</v>
      </c>
      <c r="M22" s="85">
        <f>SUM($E6:M6)</f>
        <v>87</v>
      </c>
      <c r="N22" s="85">
        <f>SUM($E6:N6)</f>
        <v>88</v>
      </c>
      <c r="O22" s="85">
        <f>SUM($E6:O6)</f>
        <v>89</v>
      </c>
      <c r="P22" s="85">
        <f>SUM($E6:P6)</f>
        <v>90</v>
      </c>
      <c r="Q22" s="85"/>
    </row>
    <row r="23" spans="4:17" x14ac:dyDescent="0.25">
      <c r="D23" s="86">
        <v>43952</v>
      </c>
      <c r="E23" s="85">
        <v>9</v>
      </c>
      <c r="F23" s="85">
        <f>SUM($E7:F7)</f>
        <v>24</v>
      </c>
      <c r="G23" s="85">
        <f>SUM($E7:G7)</f>
        <v>40</v>
      </c>
      <c r="H23" s="85">
        <f>SUM($E7:H7)</f>
        <v>55</v>
      </c>
      <c r="I23" s="85">
        <f>SUM($E7:I7)</f>
        <v>65</v>
      </c>
      <c r="J23" s="85">
        <f>SUM($E7:J7)</f>
        <v>73</v>
      </c>
      <c r="K23" s="85">
        <f>SUM($E7:K7)</f>
        <v>80</v>
      </c>
      <c r="L23" s="85">
        <f>SUM($E7:L7)</f>
        <v>85</v>
      </c>
      <c r="M23" s="85">
        <f>SUM($E7:M7)</f>
        <v>88</v>
      </c>
      <c r="N23" s="85">
        <f>SUM($E7:N7)</f>
        <v>90</v>
      </c>
      <c r="O23" s="85">
        <f>SUM($E7:O7)</f>
        <v>90</v>
      </c>
      <c r="P23" s="85"/>
      <c r="Q23" s="85"/>
    </row>
    <row r="24" spans="4:17" x14ac:dyDescent="0.25">
      <c r="D24" s="86">
        <v>43983</v>
      </c>
      <c r="E24" s="85">
        <v>12</v>
      </c>
      <c r="F24" s="85">
        <f>SUM($E8:F8)</f>
        <v>28</v>
      </c>
      <c r="G24" s="85">
        <f>SUM($E8:G8)</f>
        <v>45</v>
      </c>
      <c r="H24" s="85">
        <f>SUM($E8:H8)</f>
        <v>56</v>
      </c>
      <c r="I24" s="85">
        <f>SUM($E8:I8)</f>
        <v>67</v>
      </c>
      <c r="J24" s="85">
        <f>SUM($E8:J8)</f>
        <v>74</v>
      </c>
      <c r="K24" s="85">
        <f>SUM($E8:K8)</f>
        <v>80</v>
      </c>
      <c r="L24" s="85">
        <f>SUM($E8:L8)</f>
        <v>84</v>
      </c>
      <c r="M24" s="85">
        <f>SUM($E8:M8)</f>
        <v>86</v>
      </c>
      <c r="N24" s="85">
        <f>SUM($E8:N8)</f>
        <v>88</v>
      </c>
      <c r="O24" s="85"/>
      <c r="P24" s="85"/>
      <c r="Q24" s="85"/>
    </row>
    <row r="25" spans="4:17" x14ac:dyDescent="0.25">
      <c r="D25" s="86">
        <v>44013</v>
      </c>
      <c r="E25" s="85">
        <v>11</v>
      </c>
      <c r="F25" s="85">
        <f>SUM($E9:F9)</f>
        <v>28</v>
      </c>
      <c r="G25" s="85">
        <f>SUM($E9:G9)</f>
        <v>45</v>
      </c>
      <c r="H25" s="85">
        <f>SUM($E9:H9)</f>
        <v>55</v>
      </c>
      <c r="I25" s="85">
        <f>SUM($E9:I9)</f>
        <v>66</v>
      </c>
      <c r="J25" s="85">
        <f>SUM($E9:J9)</f>
        <v>74</v>
      </c>
      <c r="K25" s="85">
        <f>SUM($E9:K9)</f>
        <v>79</v>
      </c>
      <c r="L25" s="85">
        <f>SUM($E9:L9)</f>
        <v>84</v>
      </c>
      <c r="M25" s="85">
        <f>SUM($E9:M9)</f>
        <v>87</v>
      </c>
      <c r="N25" s="85"/>
      <c r="O25" s="85"/>
      <c r="P25" s="85"/>
      <c r="Q25" s="85"/>
    </row>
    <row r="26" spans="4:17" x14ac:dyDescent="0.25">
      <c r="D26" s="86">
        <v>44044</v>
      </c>
      <c r="E26" s="85">
        <v>12</v>
      </c>
      <c r="F26" s="85">
        <f>SUM($E10:F10)</f>
        <v>27</v>
      </c>
      <c r="G26" s="85">
        <f>SUM($E10:G10)</f>
        <v>41</v>
      </c>
      <c r="H26" s="85">
        <f>SUM($E10:H10)</f>
        <v>53</v>
      </c>
      <c r="I26" s="85">
        <f>SUM($E10:I10)</f>
        <v>63</v>
      </c>
      <c r="J26" s="85">
        <f>SUM($E10:J10)</f>
        <v>73</v>
      </c>
      <c r="K26" s="85">
        <f>SUM($E10:K10)</f>
        <v>80</v>
      </c>
      <c r="L26" s="85">
        <f>SUM($E10:L10)</f>
        <v>84</v>
      </c>
      <c r="M26" s="79"/>
      <c r="N26" s="85"/>
      <c r="O26" s="85"/>
      <c r="P26" s="85"/>
      <c r="Q26" s="85"/>
    </row>
    <row r="27" spans="4:17" x14ac:dyDescent="0.25">
      <c r="D27" s="81">
        <v>44075</v>
      </c>
      <c r="E27" s="85">
        <v>2</v>
      </c>
      <c r="F27" s="85">
        <f>SUM($E11:F11)</f>
        <v>6</v>
      </c>
      <c r="G27" s="85">
        <f>SUM($E11:G11)</f>
        <v>38</v>
      </c>
      <c r="H27" s="85">
        <f>SUM($E11:H11)</f>
        <v>62</v>
      </c>
      <c r="I27" s="85">
        <f>SUM($E11:I11)</f>
        <v>82</v>
      </c>
      <c r="J27" s="85">
        <f>SUM($E11:J11)</f>
        <v>92</v>
      </c>
      <c r="K27" s="85">
        <f>SUM($E11:K11)</f>
        <v>99</v>
      </c>
      <c r="L27" s="79"/>
      <c r="M27" s="79"/>
      <c r="N27" s="85"/>
      <c r="O27" s="85"/>
      <c r="P27" s="85"/>
      <c r="Q27" s="85"/>
    </row>
    <row r="28" spans="4:17" x14ac:dyDescent="0.25">
      <c r="D28" s="81">
        <v>44105</v>
      </c>
      <c r="E28" s="85">
        <v>3</v>
      </c>
      <c r="F28" s="85">
        <f>SUM($E12:F12)</f>
        <v>34</v>
      </c>
      <c r="G28" s="85">
        <f>SUM($E12:G12)</f>
        <v>62</v>
      </c>
      <c r="H28" s="85">
        <f>SUM($E12:H12)</f>
        <v>80</v>
      </c>
      <c r="I28" s="85">
        <f>SUM($E12:I12)</f>
        <v>91</v>
      </c>
      <c r="J28" s="85">
        <f>SUM($E12:J12)</f>
        <v>99</v>
      </c>
      <c r="K28" s="79"/>
      <c r="L28" s="79"/>
      <c r="M28" s="79"/>
      <c r="N28" s="85"/>
      <c r="O28" s="85"/>
      <c r="P28" s="85"/>
      <c r="Q28" s="85"/>
    </row>
    <row r="29" spans="4:17" x14ac:dyDescent="0.25">
      <c r="D29" s="86">
        <v>44136</v>
      </c>
      <c r="E29" s="85">
        <v>72</v>
      </c>
      <c r="F29" s="85">
        <f>SUM($E13:F13)</f>
        <v>162</v>
      </c>
      <c r="G29" s="85">
        <f>SUM($E13:G13)</f>
        <v>240</v>
      </c>
      <c r="H29" s="85">
        <f>SUM($E13:H13)</f>
        <v>291</v>
      </c>
      <c r="I29" s="85">
        <f>SUM($E13:I13)</f>
        <v>323</v>
      </c>
      <c r="J29" s="85"/>
      <c r="K29" s="79"/>
      <c r="L29" s="79"/>
      <c r="M29" s="79"/>
      <c r="N29" s="85"/>
      <c r="O29" s="85"/>
      <c r="P29" s="85"/>
      <c r="Q29" s="85"/>
    </row>
    <row r="30" spans="4:17" x14ac:dyDescent="0.25">
      <c r="D30" s="86">
        <v>44166</v>
      </c>
      <c r="E30" s="85">
        <v>74</v>
      </c>
      <c r="F30" s="85">
        <f>SUM($E14:F14)</f>
        <v>139</v>
      </c>
      <c r="G30" s="85">
        <f>SUM($E14:G14)</f>
        <v>201</v>
      </c>
      <c r="H30" s="85">
        <f>SUM($E14:H14)</f>
        <v>242</v>
      </c>
      <c r="I30" s="85"/>
      <c r="J30" s="85"/>
      <c r="K30" s="79"/>
      <c r="L30" s="79"/>
      <c r="M30" s="79"/>
      <c r="N30" s="85"/>
      <c r="O30" s="85"/>
      <c r="P30" s="85"/>
      <c r="Q30" s="85"/>
    </row>
    <row r="31" spans="4:17" x14ac:dyDescent="0.25">
      <c r="D31" s="86">
        <v>44197</v>
      </c>
      <c r="E31" s="85">
        <v>71</v>
      </c>
      <c r="F31" s="85">
        <f>SUM($E15:F15)</f>
        <v>138</v>
      </c>
      <c r="G31" s="85">
        <f>SUM($E15:G15)</f>
        <v>190</v>
      </c>
      <c r="H31" s="85"/>
      <c r="I31" s="85"/>
      <c r="J31" s="85"/>
      <c r="K31" s="79"/>
      <c r="L31" s="79"/>
      <c r="M31" s="79"/>
      <c r="N31" s="85"/>
      <c r="O31" s="85"/>
      <c r="P31" s="85"/>
      <c r="Q31" s="85"/>
    </row>
    <row r="32" spans="4:17" x14ac:dyDescent="0.25">
      <c r="D32" s="86">
        <v>44228</v>
      </c>
      <c r="E32" s="85">
        <v>81</v>
      </c>
      <c r="F32" s="85">
        <f>SUM($E16:F16)</f>
        <v>137</v>
      </c>
      <c r="G32" s="85"/>
      <c r="H32" s="85"/>
      <c r="I32" s="85"/>
      <c r="J32" s="85"/>
      <c r="K32" s="79"/>
      <c r="L32" s="79"/>
      <c r="M32" s="79"/>
      <c r="N32" s="85"/>
      <c r="O32" s="85"/>
      <c r="P32" s="85"/>
      <c r="Q32" s="85"/>
    </row>
    <row r="33" spans="4:19" x14ac:dyDescent="0.25">
      <c r="D33" s="86">
        <v>44256</v>
      </c>
      <c r="E33" s="85">
        <v>78</v>
      </c>
      <c r="F33" s="85"/>
      <c r="G33" s="85"/>
      <c r="H33" s="85"/>
      <c r="I33" s="85"/>
      <c r="J33" s="85"/>
      <c r="K33" s="79"/>
      <c r="L33" s="79"/>
      <c r="M33" s="79"/>
      <c r="N33" s="85"/>
      <c r="O33" s="85"/>
      <c r="P33" s="85"/>
      <c r="Q33" s="85"/>
      <c r="S33" t="s">
        <v>168</v>
      </c>
    </row>
    <row r="35" spans="4:19" x14ac:dyDescent="0.25">
      <c r="D35" t="s">
        <v>56</v>
      </c>
    </row>
    <row r="37" spans="4:19" ht="30" x14ac:dyDescent="0.25">
      <c r="D37" s="84" t="s">
        <v>57</v>
      </c>
      <c r="E37" s="85">
        <f>SUM(E21:E33)</f>
        <v>446</v>
      </c>
      <c r="F37" s="85">
        <f t="shared" ref="F37:Q37" si="0">SUM(F21:F33)</f>
        <v>775</v>
      </c>
      <c r="G37" s="85">
        <f t="shared" si="0"/>
        <v>989</v>
      </c>
      <c r="H37" s="85">
        <f t="shared" si="0"/>
        <v>1010</v>
      </c>
      <c r="I37" s="85">
        <f t="shared" si="0"/>
        <v>895</v>
      </c>
      <c r="J37" s="85">
        <f t="shared" si="0"/>
        <v>636</v>
      </c>
      <c r="K37" s="85">
        <f t="shared" si="0"/>
        <v>578</v>
      </c>
      <c r="L37" s="85">
        <f t="shared" si="0"/>
        <v>505</v>
      </c>
      <c r="M37" s="85">
        <f t="shared" si="0"/>
        <v>437</v>
      </c>
      <c r="N37" s="85">
        <f t="shared" si="0"/>
        <v>358</v>
      </c>
      <c r="O37" s="85">
        <f t="shared" si="0"/>
        <v>273</v>
      </c>
      <c r="P37" s="85">
        <f t="shared" si="0"/>
        <v>185</v>
      </c>
      <c r="Q37" s="85">
        <f t="shared" si="0"/>
        <v>96</v>
      </c>
    </row>
    <row r="38" spans="4:19" ht="45" x14ac:dyDescent="0.25">
      <c r="D38" s="84" t="s">
        <v>58</v>
      </c>
      <c r="E38" s="85">
        <f>SUM(E21:E32)</f>
        <v>368</v>
      </c>
      <c r="F38" s="85">
        <f>SUM(F21:F31)</f>
        <v>638</v>
      </c>
      <c r="G38" s="85">
        <f>SUM(G21:G30)</f>
        <v>799</v>
      </c>
      <c r="H38" s="85">
        <f>SUM(H21:H29)</f>
        <v>768</v>
      </c>
      <c r="I38" s="85">
        <f>SUM(I21:I28)</f>
        <v>572</v>
      </c>
      <c r="J38" s="85">
        <f>SUM(J21:J27)</f>
        <v>537</v>
      </c>
      <c r="K38" s="85">
        <f>SUM(K21:K26)</f>
        <v>479</v>
      </c>
      <c r="L38" s="85">
        <f>SUM(L21:L25)</f>
        <v>421</v>
      </c>
      <c r="M38" s="85">
        <f>SUM(M21:M24)</f>
        <v>350</v>
      </c>
      <c r="N38" s="85">
        <f>SUM(N21:N23)</f>
        <v>270</v>
      </c>
      <c r="O38" s="85">
        <f>SUM(O21:O22)</f>
        <v>183</v>
      </c>
      <c r="P38" s="85">
        <f>P21</f>
        <v>95</v>
      </c>
      <c r="Q38" s="1"/>
    </row>
    <row r="39" spans="4:19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4:19" ht="45" x14ac:dyDescent="0.25">
      <c r="D40" s="84" t="s">
        <v>59</v>
      </c>
      <c r="E40" s="87"/>
      <c r="F40" s="87">
        <f>F37/E38</f>
        <v>2.1059782608695654</v>
      </c>
      <c r="G40" s="87">
        <f t="shared" ref="G40:Q40" si="1">G37/F38</f>
        <v>1.5501567398119123</v>
      </c>
      <c r="H40" s="87">
        <f t="shared" si="1"/>
        <v>1.2640801001251565</v>
      </c>
      <c r="I40" s="87">
        <f t="shared" si="1"/>
        <v>1.1653645833333333</v>
      </c>
      <c r="J40" s="87">
        <f t="shared" si="1"/>
        <v>1.1118881118881119</v>
      </c>
      <c r="K40" s="87">
        <f t="shared" si="1"/>
        <v>1.0763500931098697</v>
      </c>
      <c r="L40" s="87">
        <f t="shared" si="1"/>
        <v>1.0542797494780793</v>
      </c>
      <c r="M40" s="87">
        <f t="shared" si="1"/>
        <v>1.0380047505938241</v>
      </c>
      <c r="N40" s="87">
        <f t="shared" si="1"/>
        <v>1.0228571428571429</v>
      </c>
      <c r="O40" s="87">
        <f t="shared" si="1"/>
        <v>1.0111111111111111</v>
      </c>
      <c r="P40" s="87">
        <f t="shared" si="1"/>
        <v>1.0109289617486339</v>
      </c>
      <c r="Q40" s="87">
        <f t="shared" si="1"/>
        <v>1.0105263157894737</v>
      </c>
      <c r="S40" t="s">
        <v>168</v>
      </c>
    </row>
    <row r="44" spans="4:19" ht="75" x14ac:dyDescent="0.25">
      <c r="D44" s="84" t="s">
        <v>50</v>
      </c>
      <c r="E44" s="85">
        <v>1</v>
      </c>
      <c r="F44" s="85">
        <v>2</v>
      </c>
      <c r="G44" s="85">
        <v>3</v>
      </c>
      <c r="H44" s="85">
        <v>4</v>
      </c>
      <c r="I44" s="85">
        <v>5</v>
      </c>
      <c r="J44" s="85">
        <v>6</v>
      </c>
      <c r="K44" s="85">
        <v>7</v>
      </c>
      <c r="L44" s="85">
        <v>8</v>
      </c>
      <c r="M44" s="85">
        <v>9</v>
      </c>
      <c r="N44" s="85">
        <v>10</v>
      </c>
      <c r="O44" s="85">
        <v>11</v>
      </c>
      <c r="P44" s="85">
        <v>12</v>
      </c>
      <c r="Q44" s="85">
        <v>13</v>
      </c>
    </row>
    <row r="45" spans="4:19" x14ac:dyDescent="0.25">
      <c r="D45" s="86">
        <v>43891</v>
      </c>
      <c r="E45" s="85">
        <f>E21</f>
        <v>10</v>
      </c>
      <c r="F45" s="85">
        <f t="shared" ref="F45:Q45" si="2">F21</f>
        <v>27</v>
      </c>
      <c r="G45" s="85">
        <f t="shared" si="2"/>
        <v>45</v>
      </c>
      <c r="H45" s="85">
        <f t="shared" si="2"/>
        <v>58</v>
      </c>
      <c r="I45" s="85">
        <f t="shared" si="2"/>
        <v>68</v>
      </c>
      <c r="J45" s="85">
        <f t="shared" si="2"/>
        <v>75</v>
      </c>
      <c r="K45" s="85">
        <f t="shared" si="2"/>
        <v>80</v>
      </c>
      <c r="L45" s="85">
        <f t="shared" si="2"/>
        <v>84</v>
      </c>
      <c r="M45" s="85">
        <f t="shared" si="2"/>
        <v>89</v>
      </c>
      <c r="N45" s="85">
        <f t="shared" si="2"/>
        <v>92</v>
      </c>
      <c r="O45" s="85">
        <f t="shared" si="2"/>
        <v>94</v>
      </c>
      <c r="P45" s="85">
        <f t="shared" si="2"/>
        <v>95</v>
      </c>
      <c r="Q45" s="85">
        <f t="shared" si="2"/>
        <v>96</v>
      </c>
    </row>
    <row r="46" spans="4:19" x14ac:dyDescent="0.25">
      <c r="D46" s="86">
        <v>43922</v>
      </c>
      <c r="E46" s="85">
        <f t="shared" ref="E46:P57" si="3">E22</f>
        <v>11</v>
      </c>
      <c r="F46" s="85">
        <f t="shared" si="3"/>
        <v>25</v>
      </c>
      <c r="G46" s="85">
        <f t="shared" si="3"/>
        <v>42</v>
      </c>
      <c r="H46" s="85">
        <f t="shared" si="3"/>
        <v>58</v>
      </c>
      <c r="I46" s="85">
        <f t="shared" si="3"/>
        <v>70</v>
      </c>
      <c r="J46" s="85">
        <f t="shared" si="3"/>
        <v>76</v>
      </c>
      <c r="K46" s="85">
        <f t="shared" si="3"/>
        <v>80</v>
      </c>
      <c r="L46" s="85">
        <f t="shared" si="3"/>
        <v>84</v>
      </c>
      <c r="M46" s="85">
        <f t="shared" si="3"/>
        <v>87</v>
      </c>
      <c r="N46" s="85">
        <f t="shared" si="3"/>
        <v>88</v>
      </c>
      <c r="O46" s="85">
        <f t="shared" si="3"/>
        <v>89</v>
      </c>
      <c r="P46" s="85">
        <f t="shared" si="3"/>
        <v>90</v>
      </c>
      <c r="Q46" s="88">
        <f>P46*$Q$40</f>
        <v>90.94736842105263</v>
      </c>
    </row>
    <row r="47" spans="4:19" x14ac:dyDescent="0.25">
      <c r="D47" s="86">
        <v>43952</v>
      </c>
      <c r="E47" s="85">
        <f t="shared" si="3"/>
        <v>9</v>
      </c>
      <c r="F47" s="85">
        <f t="shared" si="3"/>
        <v>24</v>
      </c>
      <c r="G47" s="85">
        <f t="shared" si="3"/>
        <v>40</v>
      </c>
      <c r="H47" s="85">
        <f t="shared" si="3"/>
        <v>55</v>
      </c>
      <c r="I47" s="85">
        <f t="shared" si="3"/>
        <v>65</v>
      </c>
      <c r="J47" s="85">
        <f t="shared" si="3"/>
        <v>73</v>
      </c>
      <c r="K47" s="85">
        <f t="shared" si="3"/>
        <v>80</v>
      </c>
      <c r="L47" s="85">
        <f t="shared" si="3"/>
        <v>85</v>
      </c>
      <c r="M47" s="85">
        <f t="shared" si="3"/>
        <v>88</v>
      </c>
      <c r="N47" s="85">
        <f t="shared" si="3"/>
        <v>90</v>
      </c>
      <c r="O47" s="85">
        <f t="shared" si="3"/>
        <v>90</v>
      </c>
      <c r="P47" s="88">
        <f>O47*$P$40</f>
        <v>90.983606557377044</v>
      </c>
      <c r="Q47" s="88">
        <f t="shared" ref="Q47:Q57" si="4">P47*$Q$40</f>
        <v>91.941328731665223</v>
      </c>
    </row>
    <row r="48" spans="4:19" x14ac:dyDescent="0.25">
      <c r="D48" s="86">
        <v>43983</v>
      </c>
      <c r="E48" s="85">
        <f t="shared" si="3"/>
        <v>12</v>
      </c>
      <c r="F48" s="85">
        <f t="shared" si="3"/>
        <v>28</v>
      </c>
      <c r="G48" s="85">
        <f t="shared" si="3"/>
        <v>45</v>
      </c>
      <c r="H48" s="85">
        <f t="shared" si="3"/>
        <v>56</v>
      </c>
      <c r="I48" s="85">
        <f t="shared" si="3"/>
        <v>67</v>
      </c>
      <c r="J48" s="85">
        <f t="shared" si="3"/>
        <v>74</v>
      </c>
      <c r="K48" s="85">
        <f t="shared" si="3"/>
        <v>80</v>
      </c>
      <c r="L48" s="85">
        <f t="shared" si="3"/>
        <v>84</v>
      </c>
      <c r="M48" s="85">
        <f t="shared" si="3"/>
        <v>86</v>
      </c>
      <c r="N48" s="85">
        <f t="shared" si="3"/>
        <v>88</v>
      </c>
      <c r="O48" s="88">
        <f>N48*$O$40</f>
        <v>88.977777777777774</v>
      </c>
      <c r="P48" s="88">
        <f t="shared" ref="P48:P57" si="5">O48*$P$40</f>
        <v>89.950212507589555</v>
      </c>
      <c r="Q48" s="88">
        <f t="shared" si="4"/>
        <v>90.897056849774714</v>
      </c>
    </row>
    <row r="49" spans="4:19" x14ac:dyDescent="0.25">
      <c r="D49" s="86">
        <v>44013</v>
      </c>
      <c r="E49" s="85">
        <f t="shared" si="3"/>
        <v>11</v>
      </c>
      <c r="F49" s="85">
        <f t="shared" si="3"/>
        <v>28</v>
      </c>
      <c r="G49" s="85">
        <f t="shared" si="3"/>
        <v>45</v>
      </c>
      <c r="H49" s="85">
        <f t="shared" si="3"/>
        <v>55</v>
      </c>
      <c r="I49" s="85">
        <f t="shared" si="3"/>
        <v>66</v>
      </c>
      <c r="J49" s="85">
        <f t="shared" si="3"/>
        <v>74</v>
      </c>
      <c r="K49" s="85">
        <f t="shared" si="3"/>
        <v>79</v>
      </c>
      <c r="L49" s="85">
        <f t="shared" si="3"/>
        <v>84</v>
      </c>
      <c r="M49" s="85">
        <f t="shared" si="3"/>
        <v>87</v>
      </c>
      <c r="N49" s="88">
        <f>M49*$N$40</f>
        <v>88.988571428571433</v>
      </c>
      <c r="O49" s="88">
        <f t="shared" ref="O49:O57" si="6">N49*$O$40</f>
        <v>89.977333333333334</v>
      </c>
      <c r="P49" s="88">
        <f t="shared" si="5"/>
        <v>90.96069216757742</v>
      </c>
      <c r="Q49" s="88">
        <f t="shared" si="4"/>
        <v>91.918173137762452</v>
      </c>
    </row>
    <row r="50" spans="4:19" x14ac:dyDescent="0.25">
      <c r="D50" s="86">
        <v>44044</v>
      </c>
      <c r="E50" s="85">
        <f t="shared" si="3"/>
        <v>12</v>
      </c>
      <c r="F50" s="85">
        <f t="shared" si="3"/>
        <v>27</v>
      </c>
      <c r="G50" s="85">
        <f t="shared" si="3"/>
        <v>41</v>
      </c>
      <c r="H50" s="85">
        <f t="shared" si="3"/>
        <v>53</v>
      </c>
      <c r="I50" s="85">
        <f t="shared" si="3"/>
        <v>63</v>
      </c>
      <c r="J50" s="85">
        <f t="shared" si="3"/>
        <v>73</v>
      </c>
      <c r="K50" s="85">
        <f t="shared" si="3"/>
        <v>80</v>
      </c>
      <c r="L50" s="85">
        <f t="shared" si="3"/>
        <v>84</v>
      </c>
      <c r="M50" s="88">
        <f>L50*$M$40</f>
        <v>87.192399049881232</v>
      </c>
      <c r="N50" s="88">
        <f t="shared" ref="N50:N57" si="7">M50*$N$40</f>
        <v>89.185368171021381</v>
      </c>
      <c r="O50" s="88">
        <f t="shared" si="6"/>
        <v>90.176316706254951</v>
      </c>
      <c r="P50" s="88">
        <f t="shared" si="5"/>
        <v>91.161850222170301</v>
      </c>
      <c r="Q50" s="88">
        <f t="shared" si="4"/>
        <v>92.121448645561571</v>
      </c>
    </row>
    <row r="51" spans="4:19" x14ac:dyDescent="0.25">
      <c r="D51" s="81">
        <v>44075</v>
      </c>
      <c r="E51" s="85">
        <f t="shared" si="3"/>
        <v>2</v>
      </c>
      <c r="F51" s="85">
        <f t="shared" si="3"/>
        <v>6</v>
      </c>
      <c r="G51" s="85">
        <f t="shared" si="3"/>
        <v>38</v>
      </c>
      <c r="H51" s="85">
        <f t="shared" si="3"/>
        <v>62</v>
      </c>
      <c r="I51" s="85">
        <f t="shared" si="3"/>
        <v>82</v>
      </c>
      <c r="J51" s="85">
        <f t="shared" si="3"/>
        <v>92</v>
      </c>
      <c r="K51" s="85">
        <f t="shared" si="3"/>
        <v>99</v>
      </c>
      <c r="L51" s="88">
        <f>K51*$L$40</f>
        <v>104.37369519832986</v>
      </c>
      <c r="M51" s="88">
        <f t="shared" ref="M51:M57" si="8">L51*$M$40</f>
        <v>108.3403914528982</v>
      </c>
      <c r="N51" s="88">
        <f t="shared" si="7"/>
        <v>110.81674325753588</v>
      </c>
      <c r="O51" s="88">
        <f t="shared" si="6"/>
        <v>112.04804040484183</v>
      </c>
      <c r="P51" s="88">
        <f t="shared" si="5"/>
        <v>113.27260915243573</v>
      </c>
      <c r="Q51" s="88">
        <f t="shared" si="4"/>
        <v>114.4649524066719</v>
      </c>
    </row>
    <row r="52" spans="4:19" x14ac:dyDescent="0.25">
      <c r="D52" s="81">
        <v>44105</v>
      </c>
      <c r="E52" s="85">
        <f t="shared" si="3"/>
        <v>3</v>
      </c>
      <c r="F52" s="85">
        <f t="shared" si="3"/>
        <v>34</v>
      </c>
      <c r="G52" s="85">
        <f t="shared" si="3"/>
        <v>62</v>
      </c>
      <c r="H52" s="85">
        <f t="shared" si="3"/>
        <v>80</v>
      </c>
      <c r="I52" s="85">
        <f t="shared" si="3"/>
        <v>91</v>
      </c>
      <c r="J52" s="85">
        <f t="shared" si="3"/>
        <v>99</v>
      </c>
      <c r="K52" s="88">
        <f>J52*$K$40</f>
        <v>106.55865921787711</v>
      </c>
      <c r="L52" s="88">
        <f t="shared" ref="L52:L57" si="9">K52*$L$40</f>
        <v>112.3426365449435</v>
      </c>
      <c r="M52" s="88">
        <f t="shared" si="8"/>
        <v>116.61219042788672</v>
      </c>
      <c r="N52" s="88">
        <f t="shared" si="7"/>
        <v>119.27761192338127</v>
      </c>
      <c r="O52" s="88">
        <f t="shared" si="6"/>
        <v>120.60291872252995</v>
      </c>
      <c r="P52" s="88">
        <f t="shared" si="5"/>
        <v>121.92098340802208</v>
      </c>
      <c r="Q52" s="88">
        <f t="shared" si="4"/>
        <v>123.2043621807381</v>
      </c>
    </row>
    <row r="53" spans="4:19" x14ac:dyDescent="0.25">
      <c r="D53" s="86">
        <v>44136</v>
      </c>
      <c r="E53" s="85">
        <f t="shared" si="3"/>
        <v>72</v>
      </c>
      <c r="F53" s="85">
        <f t="shared" si="3"/>
        <v>162</v>
      </c>
      <c r="G53" s="85">
        <f t="shared" si="3"/>
        <v>240</v>
      </c>
      <c r="H53" s="85">
        <f t="shared" si="3"/>
        <v>291</v>
      </c>
      <c r="I53" s="85">
        <f t="shared" si="3"/>
        <v>323</v>
      </c>
      <c r="J53" s="88">
        <f>I53*$J$40</f>
        <v>359.13986013986016</v>
      </c>
      <c r="K53" s="88">
        <f t="shared" ref="K53:K57" si="10">J53*$K$40</f>
        <v>386.56022190100407</v>
      </c>
      <c r="L53" s="88">
        <f t="shared" si="9"/>
        <v>407.54261390398131</v>
      </c>
      <c r="M53" s="88">
        <f t="shared" si="8"/>
        <v>423.0311693017573</v>
      </c>
      <c r="N53" s="88">
        <f t="shared" si="7"/>
        <v>432.70045317151175</v>
      </c>
      <c r="O53" s="88">
        <f t="shared" si="6"/>
        <v>437.50823598452854</v>
      </c>
      <c r="P53" s="88">
        <f t="shared" si="5"/>
        <v>442.28974676031572</v>
      </c>
      <c r="Q53" s="88">
        <f t="shared" si="4"/>
        <v>446.94542830516116</v>
      </c>
    </row>
    <row r="54" spans="4:19" x14ac:dyDescent="0.25">
      <c r="D54" s="86">
        <v>44166</v>
      </c>
      <c r="E54" s="85">
        <f t="shared" si="3"/>
        <v>74</v>
      </c>
      <c r="F54" s="85">
        <f t="shared" si="3"/>
        <v>139</v>
      </c>
      <c r="G54" s="85">
        <f t="shared" si="3"/>
        <v>201</v>
      </c>
      <c r="H54" s="85">
        <f t="shared" si="3"/>
        <v>242</v>
      </c>
      <c r="I54" s="88">
        <f>H54*$I$40</f>
        <v>282.01822916666663</v>
      </c>
      <c r="J54" s="88">
        <f t="shared" ref="J54:J57" si="11">I54*$J$40</f>
        <v>313.57271634615381</v>
      </c>
      <c r="K54" s="88">
        <f t="shared" si="10"/>
        <v>337.5140224358974</v>
      </c>
      <c r="L54" s="88">
        <f t="shared" si="9"/>
        <v>355.83419901905677</v>
      </c>
      <c r="M54" s="88">
        <f t="shared" si="8"/>
        <v>369.35758900552918</v>
      </c>
      <c r="N54" s="88">
        <f t="shared" si="7"/>
        <v>377.80004818279843</v>
      </c>
      <c r="O54" s="88">
        <f t="shared" si="6"/>
        <v>381.99782649594061</v>
      </c>
      <c r="P54" s="88">
        <f t="shared" si="5"/>
        <v>386.17266612977602</v>
      </c>
      <c r="Q54" s="88">
        <f t="shared" si="4"/>
        <v>390.23764156272102</v>
      </c>
    </row>
    <row r="55" spans="4:19" x14ac:dyDescent="0.25">
      <c r="D55" s="86">
        <v>44197</v>
      </c>
      <c r="E55" s="85">
        <f t="shared" si="3"/>
        <v>71</v>
      </c>
      <c r="F55" s="85">
        <f t="shared" si="3"/>
        <v>138</v>
      </c>
      <c r="G55" s="85">
        <f t="shared" si="3"/>
        <v>190</v>
      </c>
      <c r="H55" s="88">
        <f>G55*$H$40</f>
        <v>240.17521902377973</v>
      </c>
      <c r="I55" s="88">
        <f t="shared" ref="I55:I57" si="12">H55*$I$40</f>
        <v>279.89169404463911</v>
      </c>
      <c r="J55" s="88">
        <f t="shared" si="11"/>
        <v>311.20824722445889</v>
      </c>
      <c r="K55" s="88">
        <f t="shared" si="10"/>
        <v>334.96902587660566</v>
      </c>
      <c r="L55" s="88">
        <f t="shared" si="9"/>
        <v>353.1510606841041</v>
      </c>
      <c r="M55" s="88">
        <f t="shared" si="8"/>
        <v>366.57247866734792</v>
      </c>
      <c r="N55" s="88">
        <f t="shared" si="7"/>
        <v>374.95127817974446</v>
      </c>
      <c r="O55" s="88">
        <f t="shared" si="6"/>
        <v>379.1174034928527</v>
      </c>
      <c r="P55" s="88">
        <f t="shared" si="5"/>
        <v>383.26076309386747</v>
      </c>
      <c r="Q55" s="88">
        <f t="shared" si="4"/>
        <v>387.2950869159082</v>
      </c>
    </row>
    <row r="56" spans="4:19" x14ac:dyDescent="0.25">
      <c r="D56" s="86">
        <v>44228</v>
      </c>
      <c r="E56" s="85">
        <f t="shared" si="3"/>
        <v>81</v>
      </c>
      <c r="F56" s="85">
        <f t="shared" si="3"/>
        <v>137</v>
      </c>
      <c r="G56" s="88">
        <f>F56*$G$40</f>
        <v>212.37147335423197</v>
      </c>
      <c r="H56" s="88">
        <f t="shared" ref="H56:H57" si="13">G56*$H$40</f>
        <v>268.45455330134456</v>
      </c>
      <c r="I56" s="88">
        <f t="shared" si="12"/>
        <v>312.8474286519575</v>
      </c>
      <c r="J56" s="88">
        <f t="shared" si="11"/>
        <v>347.8513367528758</v>
      </c>
      <c r="K56" s="88">
        <f t="shared" si="10"/>
        <v>374.40981870235049</v>
      </c>
      <c r="L56" s="88">
        <f t="shared" si="9"/>
        <v>394.73268986364718</v>
      </c>
      <c r="M56" s="88">
        <f t="shared" si="8"/>
        <v>409.73440729314444</v>
      </c>
      <c r="N56" s="88">
        <f t="shared" si="7"/>
        <v>419.0997651741306</v>
      </c>
      <c r="O56" s="88">
        <f t="shared" si="6"/>
        <v>423.75642923162093</v>
      </c>
      <c r="P56" s="88">
        <f t="shared" si="5"/>
        <v>428.38764703743101</v>
      </c>
      <c r="Q56" s="88">
        <f t="shared" si="4"/>
        <v>432.89699069045662</v>
      </c>
      <c r="S56" t="s">
        <v>181</v>
      </c>
    </row>
    <row r="57" spans="4:19" x14ac:dyDescent="0.25">
      <c r="D57" s="86">
        <v>44256</v>
      </c>
      <c r="E57" s="85">
        <f t="shared" si="3"/>
        <v>78</v>
      </c>
      <c r="F57" s="88">
        <f>E57*$F$40</f>
        <v>164.26630434782609</v>
      </c>
      <c r="G57" s="88">
        <f>F57*$G$40</f>
        <v>254.63851880877743</v>
      </c>
      <c r="H57" s="88">
        <f t="shared" si="13"/>
        <v>321.88348435152091</v>
      </c>
      <c r="I57" s="88">
        <f t="shared" si="12"/>
        <v>375.11161262319166</v>
      </c>
      <c r="J57" s="88">
        <f t="shared" si="11"/>
        <v>417.08214270690542</v>
      </c>
      <c r="K57" s="88">
        <f t="shared" si="10"/>
        <v>448.92640313704163</v>
      </c>
      <c r="L57" s="88">
        <f t="shared" si="9"/>
        <v>473.29401583341553</v>
      </c>
      <c r="M57" s="88">
        <f t="shared" si="8"/>
        <v>491.28143686271392</v>
      </c>
      <c r="N57" s="88">
        <f t="shared" si="7"/>
        <v>502.51072684814739</v>
      </c>
      <c r="O57" s="88">
        <f t="shared" si="6"/>
        <v>508.09417936868232</v>
      </c>
      <c r="P57" s="88">
        <f t="shared" si="5"/>
        <v>513.64712121970615</v>
      </c>
      <c r="Q57" s="88">
        <f t="shared" si="4"/>
        <v>519.0539330220189</v>
      </c>
      <c r="S57" t="s">
        <v>182</v>
      </c>
    </row>
    <row r="58" spans="4:19" ht="15.75" thickBot="1" x14ac:dyDescent="0.3"/>
    <row r="59" spans="4:19" x14ac:dyDescent="0.25">
      <c r="D59" s="89"/>
      <c r="E59" s="90"/>
      <c r="F59" s="90"/>
      <c r="G59" s="90" t="s">
        <v>49</v>
      </c>
      <c r="H59" s="91"/>
    </row>
    <row r="60" spans="4:19" x14ac:dyDescent="0.25">
      <c r="D60" s="92" t="s">
        <v>60</v>
      </c>
      <c r="G60" s="93">
        <f>SUM(Q45:Q57)</f>
        <v>2967.9237708694927</v>
      </c>
      <c r="H60" s="94"/>
    </row>
    <row r="61" spans="4:19" x14ac:dyDescent="0.25">
      <c r="D61" s="92" t="s">
        <v>61</v>
      </c>
      <c r="G61" s="93">
        <f>SUM(E5:Q17)</f>
        <v>1703</v>
      </c>
      <c r="H61" s="94"/>
    </row>
    <row r="62" spans="4:19" ht="15.75" thickBot="1" x14ac:dyDescent="0.3">
      <c r="D62" s="95" t="s">
        <v>62</v>
      </c>
      <c r="E62" s="96"/>
      <c r="F62" s="96"/>
      <c r="G62" s="97">
        <f>G60-G61</f>
        <v>1264.9237708694927</v>
      </c>
      <c r="H62" s="98"/>
      <c r="S62" t="s">
        <v>169</v>
      </c>
    </row>
    <row r="64" spans="4:19" x14ac:dyDescent="0.25">
      <c r="S64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89"/>
  <sheetViews>
    <sheetView topLeftCell="A76" workbookViewId="0">
      <selection activeCell="V90" sqref="V90"/>
    </sheetView>
  </sheetViews>
  <sheetFormatPr defaultRowHeight="15" x14ac:dyDescent="0.25"/>
  <cols>
    <col min="4" max="4" width="12.5703125" customWidth="1"/>
    <col min="21" max="21" width="11" customWidth="1"/>
    <col min="22" max="22" width="10.85546875" customWidth="1"/>
  </cols>
  <sheetData>
    <row r="2" spans="4:19" x14ac:dyDescent="0.25">
      <c r="D2" s="83" t="s">
        <v>63</v>
      </c>
    </row>
    <row r="5" spans="4:19" ht="60" x14ac:dyDescent="0.25">
      <c r="D5" s="84" t="s">
        <v>50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85">
        <v>8</v>
      </c>
      <c r="M5" s="85">
        <v>9</v>
      </c>
      <c r="N5" s="85">
        <v>10</v>
      </c>
      <c r="O5" s="85">
        <v>11</v>
      </c>
      <c r="P5" s="85">
        <v>12</v>
      </c>
      <c r="Q5" s="85">
        <v>13</v>
      </c>
      <c r="R5" s="1" t="s">
        <v>51</v>
      </c>
      <c r="S5" s="84" t="s">
        <v>52</v>
      </c>
    </row>
    <row r="6" spans="4:19" x14ac:dyDescent="0.25">
      <c r="D6" s="86">
        <v>43891</v>
      </c>
      <c r="E6" s="85">
        <v>10</v>
      </c>
      <c r="F6" s="85">
        <v>17</v>
      </c>
      <c r="G6" s="85">
        <v>18</v>
      </c>
      <c r="H6" s="85">
        <v>13</v>
      </c>
      <c r="I6" s="85">
        <v>10</v>
      </c>
      <c r="J6" s="85">
        <v>7</v>
      </c>
      <c r="K6" s="79">
        <v>5</v>
      </c>
      <c r="L6" s="79">
        <v>4</v>
      </c>
      <c r="M6" s="79">
        <v>5</v>
      </c>
      <c r="N6" s="85">
        <v>3</v>
      </c>
      <c r="O6" s="85">
        <v>2</v>
      </c>
      <c r="P6" s="85">
        <v>1</v>
      </c>
      <c r="Q6" s="85">
        <v>1</v>
      </c>
      <c r="R6" s="85">
        <v>120</v>
      </c>
      <c r="S6" s="99">
        <v>0.8</v>
      </c>
    </row>
    <row r="7" spans="4:19" x14ac:dyDescent="0.25">
      <c r="D7" s="86">
        <v>43922</v>
      </c>
      <c r="E7" s="85">
        <v>11</v>
      </c>
      <c r="F7" s="85">
        <v>14</v>
      </c>
      <c r="G7" s="85">
        <v>17</v>
      </c>
      <c r="H7" s="85">
        <v>16</v>
      </c>
      <c r="I7" s="85">
        <v>12</v>
      </c>
      <c r="J7" s="85">
        <v>6</v>
      </c>
      <c r="K7" s="79">
        <v>4</v>
      </c>
      <c r="L7" s="79">
        <v>4</v>
      </c>
      <c r="M7" s="79">
        <v>3</v>
      </c>
      <c r="N7" s="85">
        <v>1</v>
      </c>
      <c r="O7" s="85">
        <v>1</v>
      </c>
      <c r="P7" s="85">
        <v>1</v>
      </c>
      <c r="Q7" s="85"/>
      <c r="R7" s="85">
        <v>115</v>
      </c>
      <c r="S7" s="99">
        <v>0.8</v>
      </c>
    </row>
    <row r="8" spans="4:19" x14ac:dyDescent="0.25">
      <c r="D8" s="86">
        <v>43952</v>
      </c>
      <c r="E8" s="85">
        <v>9</v>
      </c>
      <c r="F8" s="85">
        <v>15</v>
      </c>
      <c r="G8" s="85">
        <v>16</v>
      </c>
      <c r="H8" s="85">
        <v>15</v>
      </c>
      <c r="I8" s="85">
        <v>10</v>
      </c>
      <c r="J8" s="85">
        <v>8</v>
      </c>
      <c r="K8" s="79">
        <v>7</v>
      </c>
      <c r="L8" s="79">
        <v>5</v>
      </c>
      <c r="M8" s="79">
        <v>3</v>
      </c>
      <c r="N8" s="85">
        <v>2</v>
      </c>
      <c r="O8" s="85">
        <v>0</v>
      </c>
      <c r="P8" s="85"/>
      <c r="Q8" s="85"/>
      <c r="R8" s="85">
        <v>118</v>
      </c>
      <c r="S8" s="99">
        <v>0.8</v>
      </c>
    </row>
    <row r="9" spans="4:19" x14ac:dyDescent="0.25">
      <c r="D9" s="86">
        <v>43983</v>
      </c>
      <c r="E9" s="85">
        <v>12</v>
      </c>
      <c r="F9" s="85">
        <v>16</v>
      </c>
      <c r="G9" s="85">
        <v>17</v>
      </c>
      <c r="H9" s="85">
        <v>11</v>
      </c>
      <c r="I9" s="85">
        <v>11</v>
      </c>
      <c r="J9" s="85">
        <v>7</v>
      </c>
      <c r="K9" s="79">
        <v>6</v>
      </c>
      <c r="L9" s="79">
        <v>4</v>
      </c>
      <c r="M9" s="79">
        <v>2</v>
      </c>
      <c r="N9" s="85">
        <v>2</v>
      </c>
      <c r="O9" s="85"/>
      <c r="P9" s="85"/>
      <c r="Q9" s="85"/>
      <c r="R9" s="85">
        <v>121</v>
      </c>
      <c r="S9" s="99">
        <v>0.8</v>
      </c>
    </row>
    <row r="10" spans="4:19" x14ac:dyDescent="0.25">
      <c r="D10" s="86">
        <v>44013</v>
      </c>
      <c r="E10" s="85">
        <v>11</v>
      </c>
      <c r="F10" s="85">
        <v>17</v>
      </c>
      <c r="G10" s="85">
        <v>17</v>
      </c>
      <c r="H10" s="85">
        <v>10</v>
      </c>
      <c r="I10" s="85">
        <v>11</v>
      </c>
      <c r="J10" s="85">
        <v>8</v>
      </c>
      <c r="K10" s="79">
        <v>5</v>
      </c>
      <c r="L10" s="79">
        <v>5</v>
      </c>
      <c r="M10" s="79">
        <v>3</v>
      </c>
      <c r="N10" s="85"/>
      <c r="O10" s="85"/>
      <c r="P10" s="85"/>
      <c r="Q10" s="85"/>
      <c r="R10" s="85">
        <v>123</v>
      </c>
      <c r="S10" s="99">
        <v>0.8</v>
      </c>
    </row>
    <row r="11" spans="4:19" x14ac:dyDescent="0.25">
      <c r="D11" s="86">
        <v>44044</v>
      </c>
      <c r="E11" s="85">
        <v>12</v>
      </c>
      <c r="F11" s="85">
        <v>15</v>
      </c>
      <c r="G11" s="85">
        <v>14</v>
      </c>
      <c r="H11" s="85">
        <v>12</v>
      </c>
      <c r="I11" s="85">
        <v>10</v>
      </c>
      <c r="J11" s="85">
        <v>10</v>
      </c>
      <c r="K11" s="79">
        <v>7</v>
      </c>
      <c r="L11" s="79">
        <v>4</v>
      </c>
      <c r="M11" s="79"/>
      <c r="N11" s="85"/>
      <c r="O11" s="85"/>
      <c r="P11" s="85"/>
      <c r="Q11" s="85"/>
      <c r="R11" s="85">
        <v>120</v>
      </c>
      <c r="S11" s="99">
        <v>0.8</v>
      </c>
    </row>
    <row r="12" spans="4:19" x14ac:dyDescent="0.25">
      <c r="D12" s="81">
        <v>44075</v>
      </c>
      <c r="E12" s="85">
        <v>2</v>
      </c>
      <c r="F12" s="85">
        <v>4</v>
      </c>
      <c r="G12" s="85">
        <v>32</v>
      </c>
      <c r="H12" s="85">
        <v>24</v>
      </c>
      <c r="I12" s="85">
        <v>20</v>
      </c>
      <c r="J12" s="85">
        <v>10</v>
      </c>
      <c r="K12" s="79">
        <v>7</v>
      </c>
      <c r="L12" s="79"/>
      <c r="M12" s="79"/>
      <c r="N12" s="85"/>
      <c r="O12" s="85"/>
      <c r="P12" s="85"/>
      <c r="Q12" s="85"/>
      <c r="R12" s="85">
        <v>90</v>
      </c>
      <c r="S12" s="99">
        <v>1.2</v>
      </c>
    </row>
    <row r="13" spans="4:19" x14ac:dyDescent="0.25">
      <c r="D13" s="81">
        <v>44105</v>
      </c>
      <c r="E13" s="85">
        <v>3</v>
      </c>
      <c r="F13" s="85">
        <v>31</v>
      </c>
      <c r="G13" s="85">
        <v>28</v>
      </c>
      <c r="H13" s="85">
        <v>18</v>
      </c>
      <c r="I13" s="85">
        <v>11</v>
      </c>
      <c r="J13" s="85">
        <v>8</v>
      </c>
      <c r="K13" s="79"/>
      <c r="L13" s="79"/>
      <c r="M13" s="79"/>
      <c r="N13" s="85"/>
      <c r="O13" s="85"/>
      <c r="P13" s="85"/>
      <c r="Q13" s="85"/>
      <c r="R13" s="85">
        <v>85</v>
      </c>
      <c r="S13" s="99">
        <v>1.4</v>
      </c>
    </row>
    <row r="14" spans="4:19" x14ac:dyDescent="0.25">
      <c r="D14" s="86">
        <v>44136</v>
      </c>
      <c r="E14" s="85">
        <v>72</v>
      </c>
      <c r="F14" s="85">
        <v>90</v>
      </c>
      <c r="G14" s="85">
        <v>78</v>
      </c>
      <c r="H14" s="85">
        <v>51</v>
      </c>
      <c r="I14" s="85">
        <v>32</v>
      </c>
      <c r="J14" s="85"/>
      <c r="K14" s="79"/>
      <c r="L14" s="79"/>
      <c r="M14" s="79"/>
      <c r="N14" s="85"/>
      <c r="O14" s="85"/>
      <c r="P14" s="85"/>
      <c r="Q14" s="85"/>
      <c r="R14" s="85">
        <v>145</v>
      </c>
      <c r="S14" s="99">
        <v>2.75</v>
      </c>
    </row>
    <row r="15" spans="4:19" x14ac:dyDescent="0.25">
      <c r="D15" s="86">
        <v>44166</v>
      </c>
      <c r="E15" s="85">
        <v>74</v>
      </c>
      <c r="F15" s="85">
        <v>65</v>
      </c>
      <c r="G15" s="85">
        <v>62</v>
      </c>
      <c r="H15" s="85">
        <v>41</v>
      </c>
      <c r="I15" s="85"/>
      <c r="J15" s="85"/>
      <c r="K15" s="79"/>
      <c r="L15" s="79"/>
      <c r="M15" s="79"/>
      <c r="N15" s="85"/>
      <c r="O15" s="85"/>
      <c r="P15" s="85"/>
      <c r="Q15" s="85"/>
      <c r="R15" s="85">
        <v>180</v>
      </c>
      <c r="S15" s="99">
        <v>1.8</v>
      </c>
    </row>
    <row r="16" spans="4:19" x14ac:dyDescent="0.25">
      <c r="D16" s="86">
        <v>44197</v>
      </c>
      <c r="E16" s="85">
        <v>71</v>
      </c>
      <c r="F16" s="85">
        <v>67</v>
      </c>
      <c r="G16" s="85">
        <v>52</v>
      </c>
      <c r="H16" s="85"/>
      <c r="I16" s="85"/>
      <c r="J16" s="85"/>
      <c r="K16" s="79"/>
      <c r="L16" s="79"/>
      <c r="M16" s="79"/>
      <c r="N16" s="85"/>
      <c r="O16" s="85"/>
      <c r="P16" s="85"/>
      <c r="Q16" s="85"/>
      <c r="R16" s="85">
        <v>215</v>
      </c>
      <c r="S16" s="99">
        <v>1.45</v>
      </c>
    </row>
    <row r="17" spans="4:20" x14ac:dyDescent="0.25">
      <c r="D17" s="86">
        <v>44228</v>
      </c>
      <c r="E17" s="85">
        <v>81</v>
      </c>
      <c r="F17" s="85">
        <v>56</v>
      </c>
      <c r="G17" s="85"/>
      <c r="H17" s="85"/>
      <c r="I17" s="85"/>
      <c r="J17" s="85"/>
      <c r="K17" s="79"/>
      <c r="L17" s="79"/>
      <c r="M17" s="79"/>
      <c r="N17" s="85"/>
      <c r="O17" s="85"/>
      <c r="P17" s="85"/>
      <c r="Q17" s="85"/>
      <c r="R17" s="85">
        <v>220</v>
      </c>
      <c r="S17" s="99">
        <v>1.4</v>
      </c>
    </row>
    <row r="18" spans="4:20" x14ac:dyDescent="0.25">
      <c r="D18" s="86">
        <v>44256</v>
      </c>
      <c r="E18" s="85">
        <v>78</v>
      </c>
      <c r="F18" s="85"/>
      <c r="G18" s="85"/>
      <c r="H18" s="85"/>
      <c r="I18" s="85"/>
      <c r="J18" s="85"/>
      <c r="K18" s="79"/>
      <c r="L18" s="79"/>
      <c r="M18" s="79"/>
      <c r="N18" s="85"/>
      <c r="O18" s="85"/>
      <c r="P18" s="85"/>
      <c r="Q18" s="85"/>
      <c r="R18" s="85">
        <v>215</v>
      </c>
      <c r="S18" s="99">
        <v>1.4</v>
      </c>
    </row>
    <row r="20" spans="4:20" x14ac:dyDescent="0.25">
      <c r="D20" t="s">
        <v>64</v>
      </c>
    </row>
    <row r="22" spans="4:20" ht="60" x14ac:dyDescent="0.25">
      <c r="D22" s="84" t="s">
        <v>50</v>
      </c>
      <c r="E22" s="85">
        <v>1</v>
      </c>
      <c r="F22" s="85">
        <v>2</v>
      </c>
      <c r="G22" s="85">
        <v>3</v>
      </c>
      <c r="H22" s="85">
        <v>4</v>
      </c>
      <c r="I22" s="85">
        <v>5</v>
      </c>
      <c r="J22" s="85">
        <v>6</v>
      </c>
      <c r="K22" s="85">
        <v>7</v>
      </c>
      <c r="L22" s="85">
        <v>8</v>
      </c>
      <c r="M22" s="85">
        <v>9</v>
      </c>
      <c r="N22" s="85">
        <v>10</v>
      </c>
      <c r="O22" s="85">
        <v>11</v>
      </c>
      <c r="P22" s="85">
        <v>12</v>
      </c>
      <c r="Q22" s="85">
        <v>13</v>
      </c>
      <c r="R22" s="1" t="s">
        <v>51</v>
      </c>
      <c r="S22" s="84" t="s">
        <v>52</v>
      </c>
      <c r="T22" s="84" t="s">
        <v>65</v>
      </c>
    </row>
    <row r="23" spans="4:20" x14ac:dyDescent="0.25">
      <c r="D23" s="86">
        <v>43891</v>
      </c>
      <c r="E23" s="85">
        <v>10</v>
      </c>
      <c r="F23" s="85">
        <v>17</v>
      </c>
      <c r="G23" s="85">
        <v>18</v>
      </c>
      <c r="H23" s="85">
        <v>13</v>
      </c>
      <c r="I23" s="85">
        <v>11</v>
      </c>
      <c r="J23" s="85">
        <v>8</v>
      </c>
      <c r="K23" s="79">
        <v>5</v>
      </c>
      <c r="L23" s="79">
        <v>4</v>
      </c>
      <c r="M23" s="79">
        <v>5</v>
      </c>
      <c r="N23" s="85">
        <v>3</v>
      </c>
      <c r="O23" s="85">
        <v>2</v>
      </c>
      <c r="P23" s="85">
        <v>1</v>
      </c>
      <c r="Q23" s="85">
        <v>1</v>
      </c>
      <c r="R23" s="85">
        <v>120</v>
      </c>
      <c r="S23" s="99">
        <v>0.8</v>
      </c>
      <c r="T23" s="85">
        <f>R23*S23</f>
        <v>96</v>
      </c>
    </row>
    <row r="24" spans="4:20" x14ac:dyDescent="0.25">
      <c r="D24" s="86">
        <v>43922</v>
      </c>
      <c r="E24" s="85">
        <v>11</v>
      </c>
      <c r="F24" s="85">
        <v>14</v>
      </c>
      <c r="G24" s="85">
        <v>17</v>
      </c>
      <c r="H24" s="85">
        <v>16</v>
      </c>
      <c r="I24" s="85">
        <v>12</v>
      </c>
      <c r="J24" s="85">
        <v>6</v>
      </c>
      <c r="K24" s="79">
        <v>4</v>
      </c>
      <c r="L24" s="79">
        <v>4</v>
      </c>
      <c r="M24" s="79">
        <v>3</v>
      </c>
      <c r="N24" s="85">
        <v>1</v>
      </c>
      <c r="O24" s="85">
        <v>1</v>
      </c>
      <c r="P24" s="85">
        <v>1</v>
      </c>
      <c r="Q24" s="85"/>
      <c r="R24" s="85">
        <v>115</v>
      </c>
      <c r="S24" s="99">
        <v>0.8</v>
      </c>
      <c r="T24" s="85">
        <f t="shared" ref="T24:T35" si="0">R24*S24</f>
        <v>92</v>
      </c>
    </row>
    <row r="25" spans="4:20" x14ac:dyDescent="0.25">
      <c r="D25" s="86">
        <v>43952</v>
      </c>
      <c r="E25" s="85">
        <v>9</v>
      </c>
      <c r="F25" s="85">
        <v>15</v>
      </c>
      <c r="G25" s="85">
        <v>16</v>
      </c>
      <c r="H25" s="85">
        <v>15</v>
      </c>
      <c r="I25" s="85">
        <v>10</v>
      </c>
      <c r="J25" s="85">
        <v>8</v>
      </c>
      <c r="K25" s="79">
        <v>7</v>
      </c>
      <c r="L25" s="79">
        <v>5</v>
      </c>
      <c r="M25" s="79">
        <v>3</v>
      </c>
      <c r="N25" s="85">
        <v>2</v>
      </c>
      <c r="O25" s="85">
        <v>0</v>
      </c>
      <c r="P25" s="85"/>
      <c r="Q25" s="85"/>
      <c r="R25" s="85">
        <v>118</v>
      </c>
      <c r="S25" s="99">
        <v>0.8</v>
      </c>
      <c r="T25" s="85">
        <f t="shared" si="0"/>
        <v>94.4</v>
      </c>
    </row>
    <row r="26" spans="4:20" x14ac:dyDescent="0.25">
      <c r="D26" s="86">
        <v>43983</v>
      </c>
      <c r="E26" s="85">
        <v>12</v>
      </c>
      <c r="F26" s="85">
        <v>16</v>
      </c>
      <c r="G26" s="85">
        <v>17</v>
      </c>
      <c r="H26" s="85">
        <v>11</v>
      </c>
      <c r="I26" s="85">
        <v>11</v>
      </c>
      <c r="J26" s="85">
        <v>7</v>
      </c>
      <c r="K26" s="79">
        <v>6</v>
      </c>
      <c r="L26" s="79">
        <v>4</v>
      </c>
      <c r="M26" s="79">
        <v>2</v>
      </c>
      <c r="N26" s="85">
        <v>2</v>
      </c>
      <c r="O26" s="85"/>
      <c r="P26" s="85"/>
      <c r="Q26" s="85"/>
      <c r="R26" s="85">
        <v>121</v>
      </c>
      <c r="S26" s="99">
        <v>0.8</v>
      </c>
      <c r="T26" s="85">
        <f t="shared" si="0"/>
        <v>96.800000000000011</v>
      </c>
    </row>
    <row r="27" spans="4:20" x14ac:dyDescent="0.25">
      <c r="D27" s="86">
        <v>44013</v>
      </c>
      <c r="E27" s="85">
        <v>11</v>
      </c>
      <c r="F27" s="85">
        <v>17</v>
      </c>
      <c r="G27" s="85">
        <v>17</v>
      </c>
      <c r="H27" s="85">
        <v>10</v>
      </c>
      <c r="I27" s="85">
        <v>11</v>
      </c>
      <c r="J27" s="85">
        <v>8</v>
      </c>
      <c r="K27" s="79">
        <v>5</v>
      </c>
      <c r="L27" s="79">
        <v>5</v>
      </c>
      <c r="M27" s="79">
        <v>3</v>
      </c>
      <c r="N27" s="85"/>
      <c r="O27" s="85"/>
      <c r="P27" s="85"/>
      <c r="Q27" s="85"/>
      <c r="R27" s="85">
        <v>123</v>
      </c>
      <c r="S27" s="99">
        <v>0.8</v>
      </c>
      <c r="T27" s="85">
        <f t="shared" si="0"/>
        <v>98.4</v>
      </c>
    </row>
    <row r="28" spans="4:20" x14ac:dyDescent="0.25">
      <c r="D28" s="86">
        <v>44044</v>
      </c>
      <c r="E28" s="85">
        <v>12</v>
      </c>
      <c r="F28" s="85">
        <v>15</v>
      </c>
      <c r="G28" s="85">
        <v>14</v>
      </c>
      <c r="H28" s="85">
        <v>12</v>
      </c>
      <c r="I28" s="85">
        <v>10</v>
      </c>
      <c r="J28" s="85">
        <v>10</v>
      </c>
      <c r="K28" s="79">
        <v>7</v>
      </c>
      <c r="L28" s="79">
        <v>4</v>
      </c>
      <c r="M28" s="79"/>
      <c r="N28" s="85"/>
      <c r="O28" s="85"/>
      <c r="P28" s="85"/>
      <c r="Q28" s="85"/>
      <c r="R28" s="85">
        <v>120</v>
      </c>
      <c r="S28" s="99">
        <v>0.8</v>
      </c>
      <c r="T28" s="85">
        <f t="shared" si="0"/>
        <v>96</v>
      </c>
    </row>
    <row r="29" spans="4:20" x14ac:dyDescent="0.25">
      <c r="D29" s="81">
        <v>44075</v>
      </c>
      <c r="E29" s="85">
        <v>2</v>
      </c>
      <c r="F29" s="85">
        <v>4</v>
      </c>
      <c r="G29" s="85">
        <v>32</v>
      </c>
      <c r="H29" s="85">
        <v>24</v>
      </c>
      <c r="I29" s="85">
        <v>20</v>
      </c>
      <c r="J29" s="85">
        <v>10</v>
      </c>
      <c r="K29" s="79">
        <v>7</v>
      </c>
      <c r="L29" s="79"/>
      <c r="M29" s="79"/>
      <c r="N29" s="85"/>
      <c r="O29" s="85"/>
      <c r="P29" s="85"/>
      <c r="Q29" s="85"/>
      <c r="R29" s="85">
        <v>90</v>
      </c>
      <c r="S29" s="99">
        <v>1.2</v>
      </c>
      <c r="T29" s="85">
        <f t="shared" si="0"/>
        <v>108</v>
      </c>
    </row>
    <row r="30" spans="4:20" x14ac:dyDescent="0.25">
      <c r="D30" s="81">
        <v>44105</v>
      </c>
      <c r="E30" s="85">
        <v>3</v>
      </c>
      <c r="F30" s="85">
        <v>31</v>
      </c>
      <c r="G30" s="85">
        <v>28</v>
      </c>
      <c r="H30" s="85">
        <v>18</v>
      </c>
      <c r="I30" s="85">
        <v>11</v>
      </c>
      <c r="J30" s="85">
        <v>8</v>
      </c>
      <c r="K30" s="79"/>
      <c r="L30" s="79"/>
      <c r="M30" s="79"/>
      <c r="N30" s="85"/>
      <c r="O30" s="85"/>
      <c r="P30" s="85"/>
      <c r="Q30" s="85"/>
      <c r="R30" s="85">
        <v>85</v>
      </c>
      <c r="S30" s="99">
        <v>1.4</v>
      </c>
      <c r="T30" s="85">
        <f t="shared" si="0"/>
        <v>118.99999999999999</v>
      </c>
    </row>
    <row r="31" spans="4:20" x14ac:dyDescent="0.25">
      <c r="D31" s="86">
        <v>44136</v>
      </c>
      <c r="E31" s="85">
        <v>72</v>
      </c>
      <c r="F31" s="85">
        <v>90</v>
      </c>
      <c r="G31" s="85">
        <v>78</v>
      </c>
      <c r="H31" s="85">
        <v>51</v>
      </c>
      <c r="I31" s="85">
        <v>32</v>
      </c>
      <c r="J31" s="85"/>
      <c r="K31" s="79"/>
      <c r="L31" s="79"/>
      <c r="M31" s="79"/>
      <c r="N31" s="85"/>
      <c r="O31" s="85"/>
      <c r="P31" s="85"/>
      <c r="Q31" s="85"/>
      <c r="R31" s="85">
        <v>145</v>
      </c>
      <c r="S31" s="99">
        <v>2.75</v>
      </c>
      <c r="T31" s="85">
        <f t="shared" si="0"/>
        <v>398.75</v>
      </c>
    </row>
    <row r="32" spans="4:20" x14ac:dyDescent="0.25">
      <c r="D32" s="86">
        <v>44166</v>
      </c>
      <c r="E32" s="85">
        <v>74</v>
      </c>
      <c r="F32" s="85">
        <v>65</v>
      </c>
      <c r="G32" s="85">
        <v>62</v>
      </c>
      <c r="H32" s="85">
        <v>41</v>
      </c>
      <c r="I32" s="85"/>
      <c r="J32" s="85"/>
      <c r="K32" s="79"/>
      <c r="L32" s="79"/>
      <c r="M32" s="79"/>
      <c r="N32" s="85"/>
      <c r="O32" s="85"/>
      <c r="P32" s="85"/>
      <c r="Q32" s="85"/>
      <c r="R32" s="85">
        <v>180</v>
      </c>
      <c r="S32" s="99">
        <v>1.8</v>
      </c>
      <c r="T32" s="85">
        <f t="shared" si="0"/>
        <v>324</v>
      </c>
    </row>
    <row r="33" spans="4:22" x14ac:dyDescent="0.25">
      <c r="D33" s="86">
        <v>44197</v>
      </c>
      <c r="E33" s="85">
        <v>71</v>
      </c>
      <c r="F33" s="85">
        <v>67</v>
      </c>
      <c r="G33" s="85">
        <v>52</v>
      </c>
      <c r="H33" s="85"/>
      <c r="I33" s="85"/>
      <c r="J33" s="85"/>
      <c r="K33" s="79"/>
      <c r="L33" s="79"/>
      <c r="M33" s="79"/>
      <c r="N33" s="85"/>
      <c r="O33" s="85"/>
      <c r="P33" s="85"/>
      <c r="Q33" s="85"/>
      <c r="R33" s="85">
        <v>215</v>
      </c>
      <c r="S33" s="99">
        <v>1.45</v>
      </c>
      <c r="T33" s="85">
        <f t="shared" si="0"/>
        <v>311.75</v>
      </c>
    </row>
    <row r="34" spans="4:22" x14ac:dyDescent="0.25">
      <c r="D34" s="86">
        <v>44228</v>
      </c>
      <c r="E34" s="85">
        <v>81</v>
      </c>
      <c r="F34" s="85">
        <v>56</v>
      </c>
      <c r="G34" s="85"/>
      <c r="H34" s="85"/>
      <c r="I34" s="85"/>
      <c r="J34" s="85"/>
      <c r="K34" s="79"/>
      <c r="L34" s="79"/>
      <c r="M34" s="79"/>
      <c r="N34" s="85"/>
      <c r="O34" s="85"/>
      <c r="P34" s="85"/>
      <c r="Q34" s="85"/>
      <c r="R34" s="85">
        <v>220</v>
      </c>
      <c r="S34" s="99">
        <v>1.4</v>
      </c>
      <c r="T34" s="85">
        <f t="shared" si="0"/>
        <v>308</v>
      </c>
    </row>
    <row r="35" spans="4:22" x14ac:dyDescent="0.25">
      <c r="D35" s="86">
        <v>44256</v>
      </c>
      <c r="E35" s="85">
        <v>78</v>
      </c>
      <c r="F35" s="85"/>
      <c r="G35" s="85"/>
      <c r="H35" s="85"/>
      <c r="I35" s="85"/>
      <c r="J35" s="85"/>
      <c r="K35" s="79"/>
      <c r="L35" s="79"/>
      <c r="M35" s="79"/>
      <c r="N35" s="85"/>
      <c r="O35" s="85"/>
      <c r="P35" s="85"/>
      <c r="Q35" s="85"/>
      <c r="R35" s="85">
        <v>215</v>
      </c>
      <c r="S35" s="99">
        <v>1.4</v>
      </c>
      <c r="T35" s="85">
        <f t="shared" si="0"/>
        <v>301</v>
      </c>
      <c r="V35" t="s">
        <v>168</v>
      </c>
    </row>
    <row r="38" spans="4:22" x14ac:dyDescent="0.25">
      <c r="D38" t="s">
        <v>66</v>
      </c>
    </row>
    <row r="40" spans="4:22" ht="60" x14ac:dyDescent="0.25">
      <c r="D40" s="84" t="s">
        <v>50</v>
      </c>
      <c r="E40" s="85">
        <v>1</v>
      </c>
      <c r="F40" s="85">
        <v>2</v>
      </c>
      <c r="G40" s="85">
        <v>3</v>
      </c>
      <c r="H40" s="85">
        <v>4</v>
      </c>
      <c r="I40" s="85">
        <v>5</v>
      </c>
      <c r="J40" s="85">
        <v>6</v>
      </c>
      <c r="K40" s="85">
        <v>7</v>
      </c>
      <c r="L40" s="85">
        <v>8</v>
      </c>
      <c r="M40" s="85">
        <v>9</v>
      </c>
      <c r="N40" s="85">
        <v>10</v>
      </c>
      <c r="O40" s="85">
        <v>11</v>
      </c>
      <c r="P40" s="85">
        <v>12</v>
      </c>
      <c r="Q40" s="85">
        <v>13</v>
      </c>
    </row>
    <row r="41" spans="4:22" x14ac:dyDescent="0.25">
      <c r="D41" s="86">
        <v>43891</v>
      </c>
      <c r="E41" s="85">
        <v>10</v>
      </c>
      <c r="F41" s="85">
        <v>27</v>
      </c>
      <c r="G41" s="85">
        <v>45</v>
      </c>
      <c r="H41" s="85">
        <v>58</v>
      </c>
      <c r="I41" s="85">
        <v>68</v>
      </c>
      <c r="J41" s="85">
        <v>75</v>
      </c>
      <c r="K41" s="85">
        <v>80</v>
      </c>
      <c r="L41" s="85">
        <v>84</v>
      </c>
      <c r="M41" s="85">
        <v>89</v>
      </c>
      <c r="N41" s="85">
        <v>92</v>
      </c>
      <c r="O41" s="85">
        <v>94</v>
      </c>
      <c r="P41" s="85">
        <v>95</v>
      </c>
      <c r="Q41" s="85">
        <v>96</v>
      </c>
    </row>
    <row r="42" spans="4:22" x14ac:dyDescent="0.25">
      <c r="D42" s="86">
        <v>43922</v>
      </c>
      <c r="E42" s="85">
        <v>11</v>
      </c>
      <c r="F42" s="85">
        <v>25</v>
      </c>
      <c r="G42" s="85">
        <v>42</v>
      </c>
      <c r="H42" s="85">
        <v>58</v>
      </c>
      <c r="I42" s="85">
        <v>70</v>
      </c>
      <c r="J42" s="85">
        <v>76</v>
      </c>
      <c r="K42" s="85">
        <v>80</v>
      </c>
      <c r="L42" s="85">
        <v>84</v>
      </c>
      <c r="M42" s="85">
        <v>87</v>
      </c>
      <c r="N42" s="85">
        <v>88</v>
      </c>
      <c r="O42" s="85">
        <v>89</v>
      </c>
      <c r="P42" s="85">
        <v>90</v>
      </c>
      <c r="Q42" s="85"/>
    </row>
    <row r="43" spans="4:22" x14ac:dyDescent="0.25">
      <c r="D43" s="86">
        <v>43952</v>
      </c>
      <c r="E43" s="85">
        <v>9</v>
      </c>
      <c r="F43" s="85">
        <v>24</v>
      </c>
      <c r="G43" s="85">
        <v>40</v>
      </c>
      <c r="H43" s="85">
        <v>55</v>
      </c>
      <c r="I43" s="85">
        <v>65</v>
      </c>
      <c r="J43" s="85">
        <v>73</v>
      </c>
      <c r="K43" s="85">
        <v>80</v>
      </c>
      <c r="L43" s="85">
        <v>85</v>
      </c>
      <c r="M43" s="85">
        <v>88</v>
      </c>
      <c r="N43" s="85">
        <v>90</v>
      </c>
      <c r="O43" s="85">
        <v>90</v>
      </c>
      <c r="P43" s="85"/>
      <c r="Q43" s="85"/>
    </row>
    <row r="44" spans="4:22" x14ac:dyDescent="0.25">
      <c r="D44" s="86">
        <v>43983</v>
      </c>
      <c r="E44" s="85">
        <v>12</v>
      </c>
      <c r="F44" s="85">
        <v>28</v>
      </c>
      <c r="G44" s="85">
        <v>45</v>
      </c>
      <c r="H44" s="85">
        <v>56</v>
      </c>
      <c r="I44" s="85">
        <v>67</v>
      </c>
      <c r="J44" s="85">
        <v>74</v>
      </c>
      <c r="K44" s="85">
        <v>80</v>
      </c>
      <c r="L44" s="85">
        <v>84</v>
      </c>
      <c r="M44" s="85">
        <v>86</v>
      </c>
      <c r="N44" s="85">
        <v>88</v>
      </c>
      <c r="O44" s="85"/>
      <c r="P44" s="85"/>
      <c r="Q44" s="85"/>
    </row>
    <row r="45" spans="4:22" x14ac:dyDescent="0.25">
      <c r="D45" s="86">
        <v>44013</v>
      </c>
      <c r="E45" s="85">
        <v>11</v>
      </c>
      <c r="F45" s="85">
        <v>28</v>
      </c>
      <c r="G45" s="85">
        <v>45</v>
      </c>
      <c r="H45" s="85">
        <v>55</v>
      </c>
      <c r="I45" s="85">
        <v>66</v>
      </c>
      <c r="J45" s="85">
        <v>74</v>
      </c>
      <c r="K45" s="85">
        <v>79</v>
      </c>
      <c r="L45" s="85">
        <v>84</v>
      </c>
      <c r="M45" s="85">
        <v>87</v>
      </c>
      <c r="N45" s="85"/>
      <c r="O45" s="85"/>
      <c r="P45" s="85"/>
      <c r="Q45" s="85"/>
    </row>
    <row r="46" spans="4:22" x14ac:dyDescent="0.25">
      <c r="D46" s="86">
        <v>44044</v>
      </c>
      <c r="E46" s="85">
        <v>12</v>
      </c>
      <c r="F46" s="85">
        <v>27</v>
      </c>
      <c r="G46" s="85">
        <v>41</v>
      </c>
      <c r="H46" s="85">
        <v>53</v>
      </c>
      <c r="I46" s="85">
        <v>63</v>
      </c>
      <c r="J46" s="85">
        <v>73</v>
      </c>
      <c r="K46" s="85">
        <v>80</v>
      </c>
      <c r="L46" s="85">
        <v>84</v>
      </c>
      <c r="M46" s="79"/>
      <c r="N46" s="85"/>
      <c r="O46" s="85"/>
      <c r="P46" s="85"/>
      <c r="Q46" s="85"/>
    </row>
    <row r="47" spans="4:22" x14ac:dyDescent="0.25">
      <c r="D47" s="81">
        <v>44075</v>
      </c>
      <c r="E47" s="85">
        <v>2</v>
      </c>
      <c r="F47" s="85">
        <v>6</v>
      </c>
      <c r="G47" s="85">
        <v>38</v>
      </c>
      <c r="H47" s="85">
        <v>62</v>
      </c>
      <c r="I47" s="85">
        <v>82</v>
      </c>
      <c r="J47" s="85">
        <v>92</v>
      </c>
      <c r="K47" s="85">
        <v>99</v>
      </c>
      <c r="L47" s="79"/>
      <c r="M47" s="79"/>
      <c r="N47" s="85"/>
      <c r="O47" s="85"/>
      <c r="P47" s="85"/>
      <c r="Q47" s="85"/>
    </row>
    <row r="48" spans="4:22" x14ac:dyDescent="0.25">
      <c r="D48" s="81">
        <v>44105</v>
      </c>
      <c r="E48" s="85">
        <v>3</v>
      </c>
      <c r="F48" s="85">
        <v>34</v>
      </c>
      <c r="G48" s="85">
        <v>62</v>
      </c>
      <c r="H48" s="85">
        <v>80</v>
      </c>
      <c r="I48" s="85">
        <v>91</v>
      </c>
      <c r="J48" s="85">
        <v>99</v>
      </c>
      <c r="K48" s="79"/>
      <c r="L48" s="79"/>
      <c r="M48" s="79"/>
      <c r="N48" s="85"/>
      <c r="O48" s="85"/>
      <c r="P48" s="85"/>
      <c r="Q48" s="85"/>
    </row>
    <row r="49" spans="4:22" x14ac:dyDescent="0.25">
      <c r="D49" s="86">
        <v>44136</v>
      </c>
      <c r="E49" s="85">
        <v>72</v>
      </c>
      <c r="F49" s="85">
        <v>162</v>
      </c>
      <c r="G49" s="85">
        <v>240</v>
      </c>
      <c r="H49" s="85">
        <v>291</v>
      </c>
      <c r="I49" s="85">
        <v>323</v>
      </c>
      <c r="J49" s="85"/>
      <c r="K49" s="79"/>
      <c r="L49" s="79"/>
      <c r="M49" s="79"/>
      <c r="N49" s="85"/>
      <c r="O49" s="85"/>
      <c r="P49" s="85"/>
      <c r="Q49" s="85"/>
    </row>
    <row r="50" spans="4:22" x14ac:dyDescent="0.25">
      <c r="D50" s="86">
        <v>44166</v>
      </c>
      <c r="E50" s="85">
        <v>74</v>
      </c>
      <c r="F50" s="85">
        <v>139</v>
      </c>
      <c r="G50" s="85">
        <v>201</v>
      </c>
      <c r="H50" s="85">
        <v>242</v>
      </c>
      <c r="I50" s="85"/>
      <c r="J50" s="85"/>
      <c r="K50" s="79"/>
      <c r="L50" s="79"/>
      <c r="M50" s="79"/>
      <c r="N50" s="85"/>
      <c r="O50" s="85"/>
      <c r="P50" s="85"/>
      <c r="Q50" s="85"/>
    </row>
    <row r="51" spans="4:22" x14ac:dyDescent="0.25">
      <c r="D51" s="86">
        <v>44197</v>
      </c>
      <c r="E51" s="85">
        <v>71</v>
      </c>
      <c r="F51" s="85">
        <v>138</v>
      </c>
      <c r="G51" s="85">
        <v>190</v>
      </c>
      <c r="H51" s="85"/>
      <c r="I51" s="85"/>
      <c r="J51" s="85"/>
      <c r="K51" s="79"/>
      <c r="L51" s="79"/>
      <c r="M51" s="79"/>
      <c r="N51" s="85"/>
      <c r="O51" s="85"/>
      <c r="P51" s="85"/>
      <c r="Q51" s="85"/>
    </row>
    <row r="52" spans="4:22" x14ac:dyDescent="0.25">
      <c r="D52" s="86">
        <v>44228</v>
      </c>
      <c r="E52" s="85">
        <v>81</v>
      </c>
      <c r="F52" s="85">
        <v>137</v>
      </c>
      <c r="G52" s="85"/>
      <c r="H52" s="85"/>
      <c r="I52" s="85"/>
      <c r="J52" s="85"/>
      <c r="K52" s="79"/>
      <c r="L52" s="79"/>
      <c r="M52" s="79"/>
      <c r="N52" s="85"/>
      <c r="O52" s="85"/>
      <c r="P52" s="85"/>
      <c r="Q52" s="85"/>
      <c r="V52" t="s">
        <v>169</v>
      </c>
    </row>
    <row r="53" spans="4:22" x14ac:dyDescent="0.25">
      <c r="D53" s="86">
        <v>44256</v>
      </c>
      <c r="E53" s="85">
        <v>78</v>
      </c>
      <c r="F53" s="85"/>
      <c r="G53" s="85"/>
      <c r="H53" s="85"/>
      <c r="I53" s="85"/>
      <c r="J53" s="85"/>
      <c r="K53" s="79"/>
      <c r="L53" s="79"/>
      <c r="M53" s="79"/>
      <c r="N53" s="85"/>
      <c r="O53" s="85"/>
      <c r="P53" s="85"/>
      <c r="Q53" s="85"/>
    </row>
    <row r="54" spans="4:22" ht="30" x14ac:dyDescent="0.25">
      <c r="D54" s="84" t="s">
        <v>67</v>
      </c>
      <c r="E54" s="1"/>
      <c r="F54" s="87">
        <v>2.1059782608695654</v>
      </c>
      <c r="G54" s="87">
        <v>1.5501567398119123</v>
      </c>
      <c r="H54" s="87">
        <v>1.2640801001251565</v>
      </c>
      <c r="I54" s="87">
        <v>1.1653645833333333</v>
      </c>
      <c r="J54" s="87">
        <v>1.1118881118881119</v>
      </c>
      <c r="K54" s="87">
        <v>1.0763500931098697</v>
      </c>
      <c r="L54" s="87">
        <v>1.0542797494780793</v>
      </c>
      <c r="M54" s="87">
        <v>1.0380047505938241</v>
      </c>
      <c r="N54" s="87">
        <v>1.0228571428571429</v>
      </c>
      <c r="O54" s="87">
        <v>1.0111111111111111</v>
      </c>
      <c r="P54" s="87">
        <v>1.0109289617486339</v>
      </c>
      <c r="Q54" s="87">
        <v>1.0105263157894737</v>
      </c>
    </row>
    <row r="55" spans="4:22" ht="30" x14ac:dyDescent="0.25">
      <c r="D55" s="84" t="s">
        <v>68</v>
      </c>
      <c r="E55" s="1"/>
      <c r="F55" s="87">
        <f>PRODUCT(F54:$Q$54)</f>
        <v>6.6545376028463963</v>
      </c>
      <c r="G55" s="87">
        <f>PRODUCT(G54:$Q$54)</f>
        <v>3.1598320488354501</v>
      </c>
      <c r="H55" s="87">
        <f>PRODUCT(H54:$Q$54)</f>
        <v>2.038395194294254</v>
      </c>
      <c r="I55" s="87">
        <f>PRODUCT(I54:$Q$54)</f>
        <v>1.6125522378624837</v>
      </c>
      <c r="J55" s="87">
        <f>PRODUCT(J54:$Q$54)</f>
        <v>1.3837319761769697</v>
      </c>
      <c r="K55" s="87">
        <f>PRODUCT(K54:$Q$54)</f>
        <v>1.2444885068761424</v>
      </c>
      <c r="L55" s="87">
        <f>PRODUCT(L54:$Q$54)</f>
        <v>1.1562116404714335</v>
      </c>
      <c r="M55" s="87">
        <f>PRODUCT(M54:$Q$54)</f>
        <v>1.0966839124471615</v>
      </c>
      <c r="N55" s="87">
        <f>PRODUCT(N54:$Q$54)</f>
        <v>1.0565307257214074</v>
      </c>
      <c r="O55" s="87">
        <f>PRODUCT(O54:$Q$54)</f>
        <v>1.0329211005656216</v>
      </c>
      <c r="P55" s="87">
        <f>PRODUCT(P54:$Q$54)</f>
        <v>1.0215703192407248</v>
      </c>
      <c r="Q55" s="87">
        <f>Q54</f>
        <v>1.0105263157894737</v>
      </c>
      <c r="V55" t="s">
        <v>168</v>
      </c>
    </row>
    <row r="57" spans="4:22" x14ac:dyDescent="0.25">
      <c r="D57" t="s">
        <v>69</v>
      </c>
    </row>
    <row r="61" spans="4:22" ht="75" x14ac:dyDescent="0.25">
      <c r="D61" s="84" t="s">
        <v>50</v>
      </c>
      <c r="E61" s="1" t="s">
        <v>51</v>
      </c>
      <c r="F61" s="84" t="s">
        <v>52</v>
      </c>
      <c r="G61" s="84" t="s">
        <v>70</v>
      </c>
      <c r="H61" s="84" t="s">
        <v>68</v>
      </c>
      <c r="I61" s="84" t="s">
        <v>71</v>
      </c>
      <c r="J61" s="84" t="s">
        <v>72</v>
      </c>
    </row>
    <row r="62" spans="4:22" x14ac:dyDescent="0.25">
      <c r="D62" s="86">
        <v>43891</v>
      </c>
      <c r="E62" s="85">
        <v>120</v>
      </c>
      <c r="F62" s="99">
        <v>0.8</v>
      </c>
      <c r="G62" s="85">
        <f>E62*F62</f>
        <v>96</v>
      </c>
      <c r="H62" s="87">
        <v>1</v>
      </c>
      <c r="I62" s="100">
        <f>G62/H62</f>
        <v>96</v>
      </c>
      <c r="J62" s="85">
        <f>G62-I62</f>
        <v>0</v>
      </c>
      <c r="V62" t="s">
        <v>171</v>
      </c>
    </row>
    <row r="63" spans="4:22" x14ac:dyDescent="0.25">
      <c r="D63" s="86">
        <v>43922</v>
      </c>
      <c r="E63" s="85">
        <v>115</v>
      </c>
      <c r="F63" s="99">
        <v>0.8</v>
      </c>
      <c r="G63" s="85">
        <f t="shared" ref="G63:G74" si="1">E63*F63</f>
        <v>92</v>
      </c>
      <c r="H63" s="87">
        <f>Q55</f>
        <v>1.0105263157894737</v>
      </c>
      <c r="I63" s="100">
        <f t="shared" ref="I63:I74" si="2">G63/H63</f>
        <v>91.041666666666657</v>
      </c>
      <c r="J63" s="85">
        <f t="shared" ref="J63:J74" si="3">G63-I63</f>
        <v>0.95833333333334281</v>
      </c>
    </row>
    <row r="64" spans="4:22" x14ac:dyDescent="0.25">
      <c r="D64" s="86">
        <v>43952</v>
      </c>
      <c r="E64" s="85">
        <v>118</v>
      </c>
      <c r="F64" s="99">
        <v>0.8</v>
      </c>
      <c r="G64" s="85">
        <f t="shared" si="1"/>
        <v>94.4</v>
      </c>
      <c r="H64" s="87">
        <f>P55</f>
        <v>1.0215703192407248</v>
      </c>
      <c r="I64" s="100">
        <f t="shared" si="2"/>
        <v>92.406756756756749</v>
      </c>
      <c r="J64" s="85">
        <f t="shared" si="3"/>
        <v>1.9932432432432563</v>
      </c>
      <c r="V64" t="s">
        <v>172</v>
      </c>
    </row>
    <row r="65" spans="3:22" x14ac:dyDescent="0.25">
      <c r="D65" s="86">
        <v>43983</v>
      </c>
      <c r="E65" s="85">
        <v>121</v>
      </c>
      <c r="F65" s="99">
        <v>0.8</v>
      </c>
      <c r="G65" s="85">
        <f t="shared" si="1"/>
        <v>96.800000000000011</v>
      </c>
      <c r="H65" s="87">
        <f>O55</f>
        <v>1.0329211005656216</v>
      </c>
      <c r="I65" s="100">
        <f t="shared" si="2"/>
        <v>93.71480546480548</v>
      </c>
      <c r="J65" s="85">
        <f t="shared" si="3"/>
        <v>3.0851945351945318</v>
      </c>
    </row>
    <row r="66" spans="3:22" x14ac:dyDescent="0.25">
      <c r="D66" s="86">
        <v>44013</v>
      </c>
      <c r="E66" s="85">
        <v>123</v>
      </c>
      <c r="F66" s="99">
        <v>0.8</v>
      </c>
      <c r="G66" s="85">
        <f t="shared" si="1"/>
        <v>98.4</v>
      </c>
      <c r="H66" s="87">
        <f>N55</f>
        <v>1.0565307257214074</v>
      </c>
      <c r="I66" s="100">
        <f t="shared" si="2"/>
        <v>93.135010278865025</v>
      </c>
      <c r="J66" s="85">
        <f t="shared" si="3"/>
        <v>5.264989721134981</v>
      </c>
    </row>
    <row r="67" spans="3:22" x14ac:dyDescent="0.25">
      <c r="D67" s="86">
        <v>44044</v>
      </c>
      <c r="E67" s="85">
        <v>120</v>
      </c>
      <c r="F67" s="99">
        <v>0.8</v>
      </c>
      <c r="G67" s="85">
        <f t="shared" si="1"/>
        <v>96</v>
      </c>
      <c r="H67" s="87">
        <f>M55</f>
        <v>1.0966839124471615</v>
      </c>
      <c r="I67" s="100">
        <f t="shared" si="2"/>
        <v>87.536617352016918</v>
      </c>
      <c r="J67" s="85">
        <f t="shared" si="3"/>
        <v>8.4633826479830816</v>
      </c>
    </row>
    <row r="68" spans="3:22" x14ac:dyDescent="0.25">
      <c r="D68" s="81">
        <v>44075</v>
      </c>
      <c r="E68" s="85">
        <v>90</v>
      </c>
      <c r="F68" s="99">
        <v>1.2</v>
      </c>
      <c r="G68" s="85">
        <f t="shared" si="1"/>
        <v>108</v>
      </c>
      <c r="H68" s="87">
        <f>L55</f>
        <v>1.1562116404714335</v>
      </c>
      <c r="I68" s="100">
        <f t="shared" si="2"/>
        <v>93.408504308055655</v>
      </c>
      <c r="J68" s="85">
        <f t="shared" si="3"/>
        <v>14.591495691944345</v>
      </c>
    </row>
    <row r="69" spans="3:22" x14ac:dyDescent="0.25">
      <c r="D69" s="81">
        <v>44105</v>
      </c>
      <c r="E69" s="85">
        <v>85</v>
      </c>
      <c r="F69" s="99">
        <v>1.4</v>
      </c>
      <c r="G69" s="85">
        <f t="shared" si="1"/>
        <v>118.99999999999999</v>
      </c>
      <c r="H69" s="87">
        <f>K55</f>
        <v>1.2444885068761424</v>
      </c>
      <c r="I69" s="100">
        <f t="shared" si="2"/>
        <v>95.621614295746525</v>
      </c>
      <c r="J69" s="85">
        <f t="shared" si="3"/>
        <v>23.378385704253461</v>
      </c>
    </row>
    <row r="70" spans="3:22" x14ac:dyDescent="0.25">
      <c r="D70" s="86">
        <v>44136</v>
      </c>
      <c r="E70" s="85">
        <v>145</v>
      </c>
      <c r="F70" s="99">
        <v>2.75</v>
      </c>
      <c r="G70" s="85">
        <f t="shared" si="1"/>
        <v>398.75</v>
      </c>
      <c r="H70" s="87">
        <f>J55</f>
        <v>1.3837319761769697</v>
      </c>
      <c r="I70" s="100">
        <f t="shared" si="2"/>
        <v>288.16996850913461</v>
      </c>
      <c r="J70" s="85">
        <f t="shared" si="3"/>
        <v>110.58003149086539</v>
      </c>
    </row>
    <row r="71" spans="3:22" x14ac:dyDescent="0.25">
      <c r="D71" s="86">
        <v>44166</v>
      </c>
      <c r="E71" s="85">
        <v>180</v>
      </c>
      <c r="F71" s="99">
        <v>1.8</v>
      </c>
      <c r="G71" s="85">
        <f t="shared" si="1"/>
        <v>324</v>
      </c>
      <c r="H71" s="87">
        <f>I55</f>
        <v>1.6125522378624837</v>
      </c>
      <c r="I71" s="100">
        <f t="shared" si="2"/>
        <v>200.92372351885959</v>
      </c>
      <c r="J71" s="85">
        <f t="shared" si="3"/>
        <v>123.07627648114041</v>
      </c>
    </row>
    <row r="72" spans="3:22" x14ac:dyDescent="0.25">
      <c r="D72" s="86">
        <v>44197</v>
      </c>
      <c r="E72" s="85">
        <v>215</v>
      </c>
      <c r="F72" s="99">
        <v>1.45</v>
      </c>
      <c r="G72" s="85">
        <f t="shared" si="1"/>
        <v>311.75</v>
      </c>
      <c r="H72" s="87">
        <f>H55</f>
        <v>2.038395194294254</v>
      </c>
      <c r="I72" s="100">
        <f t="shared" si="2"/>
        <v>152.93893984475176</v>
      </c>
      <c r="J72" s="85">
        <f t="shared" si="3"/>
        <v>158.81106015524824</v>
      </c>
    </row>
    <row r="73" spans="3:22" x14ac:dyDescent="0.25">
      <c r="D73" s="86">
        <v>44228</v>
      </c>
      <c r="E73" s="85">
        <v>220</v>
      </c>
      <c r="F73" s="99">
        <v>1.4</v>
      </c>
      <c r="G73" s="85">
        <f t="shared" si="1"/>
        <v>308</v>
      </c>
      <c r="H73" s="87">
        <f>G55</f>
        <v>3.1598320488354501</v>
      </c>
      <c r="I73" s="100">
        <f t="shared" si="2"/>
        <v>97.47353506130581</v>
      </c>
      <c r="J73" s="85">
        <f t="shared" si="3"/>
        <v>210.52646493869418</v>
      </c>
    </row>
    <row r="74" spans="3:22" x14ac:dyDescent="0.25">
      <c r="D74" s="86">
        <v>44256</v>
      </c>
      <c r="E74" s="85">
        <v>215</v>
      </c>
      <c r="F74" s="99">
        <v>1.4</v>
      </c>
      <c r="G74" s="85">
        <f t="shared" si="1"/>
        <v>301</v>
      </c>
      <c r="H74" s="87">
        <f>F55</f>
        <v>6.6545376028463963</v>
      </c>
      <c r="I74" s="100">
        <f t="shared" si="2"/>
        <v>45.23229380674789</v>
      </c>
      <c r="J74" s="85">
        <f t="shared" si="3"/>
        <v>255.76770619325211</v>
      </c>
    </row>
    <row r="76" spans="3:22" ht="15.75" thickBot="1" x14ac:dyDescent="0.3"/>
    <row r="77" spans="3:22" ht="15.75" thickBot="1" x14ac:dyDescent="0.3">
      <c r="D77" s="101" t="s">
        <v>73</v>
      </c>
      <c r="E77" s="102"/>
      <c r="F77" s="103">
        <f>SUM(J62:J74)</f>
        <v>916.49656413628736</v>
      </c>
      <c r="V77" t="s">
        <v>173</v>
      </c>
    </row>
    <row r="78" spans="3:22" x14ac:dyDescent="0.25">
      <c r="V78" t="s">
        <v>174</v>
      </c>
    </row>
    <row r="80" spans="3:22" x14ac:dyDescent="0.25">
      <c r="C80" t="s">
        <v>74</v>
      </c>
      <c r="D80" t="s">
        <v>75</v>
      </c>
    </row>
    <row r="82" spans="3:22" x14ac:dyDescent="0.25">
      <c r="C82">
        <v>1</v>
      </c>
      <c r="D82" t="s">
        <v>76</v>
      </c>
      <c r="V82" t="s">
        <v>175</v>
      </c>
    </row>
    <row r="84" spans="3:22" x14ac:dyDescent="0.25">
      <c r="C84">
        <v>2</v>
      </c>
      <c r="D84" t="s">
        <v>77</v>
      </c>
    </row>
    <row r="85" spans="3:22" x14ac:dyDescent="0.25">
      <c r="D85" t="s">
        <v>78</v>
      </c>
    </row>
    <row r="86" spans="3:22" x14ac:dyDescent="0.25">
      <c r="D86" t="s">
        <v>79</v>
      </c>
    </row>
    <row r="88" spans="3:22" x14ac:dyDescent="0.25">
      <c r="C88">
        <v>3</v>
      </c>
      <c r="D88" t="s">
        <v>80</v>
      </c>
      <c r="V88" t="s">
        <v>176</v>
      </c>
    </row>
    <row r="89" spans="3:22" x14ac:dyDescent="0.25">
      <c r="D89" t="s">
        <v>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4"/>
  <sheetViews>
    <sheetView workbookViewId="0">
      <selection activeCell="M55" sqref="M55"/>
    </sheetView>
  </sheetViews>
  <sheetFormatPr defaultRowHeight="15" x14ac:dyDescent="0.25"/>
  <sheetData>
    <row r="2" spans="4:13" x14ac:dyDescent="0.25">
      <c r="D2" s="83" t="s">
        <v>54</v>
      </c>
    </row>
    <row r="4" spans="4:13" ht="75" x14ac:dyDescent="0.25">
      <c r="D4" s="84" t="s">
        <v>50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</row>
    <row r="5" spans="4:13" x14ac:dyDescent="0.25">
      <c r="D5" s="81">
        <v>44105</v>
      </c>
      <c r="E5" s="85">
        <v>3</v>
      </c>
      <c r="F5" s="85">
        <v>31</v>
      </c>
      <c r="G5" s="85">
        <v>28</v>
      </c>
      <c r="H5" s="85">
        <v>18</v>
      </c>
      <c r="I5" s="85">
        <v>11</v>
      </c>
      <c r="J5" s="85">
        <v>8</v>
      </c>
    </row>
    <row r="6" spans="4:13" x14ac:dyDescent="0.25">
      <c r="D6" s="86">
        <v>44136</v>
      </c>
      <c r="E6" s="85">
        <v>72</v>
      </c>
      <c r="F6" s="85">
        <v>90</v>
      </c>
      <c r="G6" s="85">
        <v>78</v>
      </c>
      <c r="H6" s="85">
        <v>51</v>
      </c>
      <c r="I6" s="85">
        <v>32</v>
      </c>
      <c r="J6" s="85"/>
    </row>
    <row r="7" spans="4:13" x14ac:dyDescent="0.25">
      <c r="D7" s="86">
        <v>44166</v>
      </c>
      <c r="E7" s="85">
        <v>74</v>
      </c>
      <c r="F7" s="85">
        <v>65</v>
      </c>
      <c r="G7" s="85">
        <v>62</v>
      </c>
      <c r="H7" s="85">
        <v>41</v>
      </c>
      <c r="I7" s="85"/>
      <c r="J7" s="85"/>
    </row>
    <row r="8" spans="4:13" x14ac:dyDescent="0.25">
      <c r="D8" s="86">
        <v>44197</v>
      </c>
      <c r="E8" s="85">
        <v>71</v>
      </c>
      <c r="F8" s="85">
        <v>67</v>
      </c>
      <c r="G8" s="85">
        <v>52</v>
      </c>
      <c r="H8" s="85"/>
      <c r="I8" s="85"/>
      <c r="J8" s="85"/>
    </row>
    <row r="9" spans="4:13" x14ac:dyDescent="0.25">
      <c r="D9" s="86">
        <v>44228</v>
      </c>
      <c r="E9" s="85">
        <v>81</v>
      </c>
      <c r="F9" s="85">
        <v>56</v>
      </c>
      <c r="G9" s="85"/>
      <c r="H9" s="85"/>
      <c r="I9" s="85"/>
      <c r="J9" s="85"/>
    </row>
    <row r="10" spans="4:13" x14ac:dyDescent="0.25">
      <c r="D10" s="86">
        <v>44256</v>
      </c>
      <c r="E10" s="85">
        <v>78</v>
      </c>
      <c r="F10" s="85"/>
      <c r="G10" s="85"/>
      <c r="H10" s="85"/>
      <c r="I10" s="85"/>
      <c r="J10" s="85"/>
    </row>
    <row r="12" spans="4:13" x14ac:dyDescent="0.25">
      <c r="D12" t="s">
        <v>55</v>
      </c>
    </row>
    <row r="13" spans="4:13" ht="75" x14ac:dyDescent="0.25">
      <c r="D13" s="84" t="s">
        <v>50</v>
      </c>
      <c r="E13" s="85">
        <v>1</v>
      </c>
      <c r="F13" s="85">
        <v>2</v>
      </c>
      <c r="G13" s="85">
        <v>3</v>
      </c>
      <c r="H13" s="85">
        <v>4</v>
      </c>
      <c r="I13" s="85">
        <v>5</v>
      </c>
      <c r="J13" s="85">
        <v>6</v>
      </c>
    </row>
    <row r="14" spans="4:13" x14ac:dyDescent="0.25">
      <c r="D14" s="81">
        <v>44105</v>
      </c>
      <c r="E14" s="85">
        <v>3</v>
      </c>
      <c r="F14" s="85">
        <f>SUM($E5:F5)</f>
        <v>34</v>
      </c>
      <c r="G14" s="85">
        <f>SUM($E5:G5)</f>
        <v>62</v>
      </c>
      <c r="H14" s="85">
        <f>SUM($E5:H5)</f>
        <v>80</v>
      </c>
      <c r="I14" s="85">
        <f>SUM($E5:I5)</f>
        <v>91</v>
      </c>
      <c r="J14" s="85">
        <f>SUM($E5:J5)</f>
        <v>99</v>
      </c>
      <c r="M14" t="s">
        <v>177</v>
      </c>
    </row>
    <row r="15" spans="4:13" x14ac:dyDescent="0.25">
      <c r="D15" s="86">
        <v>44136</v>
      </c>
      <c r="E15" s="85">
        <v>72</v>
      </c>
      <c r="F15" s="85">
        <f>SUM($E6:F6)</f>
        <v>162</v>
      </c>
      <c r="G15" s="85">
        <f>SUM($E6:G6)</f>
        <v>240</v>
      </c>
      <c r="H15" s="85">
        <f>SUM($E6:H6)</f>
        <v>291</v>
      </c>
      <c r="I15" s="85">
        <f>SUM($E6:I6)</f>
        <v>323</v>
      </c>
      <c r="J15" s="85"/>
    </row>
    <row r="16" spans="4:13" x14ac:dyDescent="0.25">
      <c r="D16" s="86">
        <v>44166</v>
      </c>
      <c r="E16" s="85">
        <v>74</v>
      </c>
      <c r="F16" s="85">
        <f>SUM($E7:F7)</f>
        <v>139</v>
      </c>
      <c r="G16" s="85">
        <f>SUM($E7:G7)</f>
        <v>201</v>
      </c>
      <c r="H16" s="85">
        <f>SUM($E7:H7)</f>
        <v>242</v>
      </c>
      <c r="I16" s="85"/>
      <c r="J16" s="85"/>
    </row>
    <row r="17" spans="4:13" x14ac:dyDescent="0.25">
      <c r="D17" s="86">
        <v>44197</v>
      </c>
      <c r="E17" s="85">
        <v>71</v>
      </c>
      <c r="F17" s="85">
        <f>SUM($E8:F8)</f>
        <v>138</v>
      </c>
      <c r="G17" s="85">
        <f>SUM($E8:G8)</f>
        <v>190</v>
      </c>
      <c r="H17" s="85"/>
      <c r="I17" s="85"/>
      <c r="J17" s="85"/>
    </row>
    <row r="18" spans="4:13" x14ac:dyDescent="0.25">
      <c r="D18" s="86">
        <v>44228</v>
      </c>
      <c r="E18" s="85">
        <v>81</v>
      </c>
      <c r="F18" s="85">
        <f>SUM($E9:F9)</f>
        <v>137</v>
      </c>
      <c r="G18" s="85"/>
      <c r="H18" s="85"/>
      <c r="I18" s="85"/>
      <c r="J18" s="85"/>
    </row>
    <row r="19" spans="4:13" x14ac:dyDescent="0.25">
      <c r="D19" s="86">
        <v>44256</v>
      </c>
      <c r="E19" s="85">
        <v>78</v>
      </c>
      <c r="F19" s="85"/>
      <c r="G19" s="85"/>
      <c r="H19" s="85"/>
      <c r="I19" s="85"/>
      <c r="J19" s="85"/>
    </row>
    <row r="21" spans="4:13" x14ac:dyDescent="0.25">
      <c r="D21" t="s">
        <v>56</v>
      </c>
    </row>
    <row r="23" spans="4:13" ht="30" x14ac:dyDescent="0.25">
      <c r="D23" s="84" t="s">
        <v>57</v>
      </c>
      <c r="E23" s="85">
        <f t="shared" ref="E23:J23" si="0">SUM(E14:E19)</f>
        <v>379</v>
      </c>
      <c r="F23" s="85">
        <f t="shared" si="0"/>
        <v>610</v>
      </c>
      <c r="G23" s="85">
        <f t="shared" si="0"/>
        <v>693</v>
      </c>
      <c r="H23" s="85">
        <f t="shared" si="0"/>
        <v>613</v>
      </c>
      <c r="I23" s="85">
        <f t="shared" si="0"/>
        <v>414</v>
      </c>
      <c r="J23" s="85">
        <f t="shared" si="0"/>
        <v>99</v>
      </c>
    </row>
    <row r="24" spans="4:13" ht="45" x14ac:dyDescent="0.25">
      <c r="D24" s="84" t="s">
        <v>58</v>
      </c>
      <c r="E24" s="85">
        <f>SUM(E14:E18)</f>
        <v>301</v>
      </c>
      <c r="F24" s="85">
        <f>SUM(F14:F17)</f>
        <v>473</v>
      </c>
      <c r="G24" s="85">
        <f>SUM(G14:G16)</f>
        <v>503</v>
      </c>
      <c r="H24" s="85">
        <f>SUM(H14:H15)</f>
        <v>371</v>
      </c>
      <c r="I24" s="85">
        <f>SUM(I14:I14)</f>
        <v>91</v>
      </c>
      <c r="J24" s="85"/>
    </row>
    <row r="25" spans="4:13" x14ac:dyDescent="0.25">
      <c r="D25" s="1"/>
      <c r="E25" s="1"/>
      <c r="F25" s="1"/>
      <c r="G25" s="1"/>
      <c r="H25" s="1"/>
      <c r="I25" s="1"/>
      <c r="J25" s="1"/>
    </row>
    <row r="26" spans="4:13" ht="45" x14ac:dyDescent="0.25">
      <c r="D26" s="84" t="s">
        <v>59</v>
      </c>
      <c r="E26" s="87"/>
      <c r="F26" s="87">
        <f>F23/E24</f>
        <v>2.0265780730897012</v>
      </c>
      <c r="G26" s="87">
        <f t="shared" ref="G26:J26" si="1">G23/F24</f>
        <v>1.4651162790697674</v>
      </c>
      <c r="H26" s="87">
        <f t="shared" si="1"/>
        <v>1.2186878727634194</v>
      </c>
      <c r="I26" s="87">
        <f t="shared" si="1"/>
        <v>1.1159029649595686</v>
      </c>
      <c r="J26" s="87">
        <f t="shared" si="1"/>
        <v>1.0879120879120878</v>
      </c>
      <c r="M26" t="s">
        <v>168</v>
      </c>
    </row>
    <row r="30" spans="4:13" ht="75" x14ac:dyDescent="0.25">
      <c r="D30" s="84" t="s">
        <v>50</v>
      </c>
      <c r="E30" s="85">
        <v>1</v>
      </c>
      <c r="F30" s="85">
        <v>2</v>
      </c>
      <c r="G30" s="85">
        <v>3</v>
      </c>
      <c r="H30" s="85">
        <v>4</v>
      </c>
      <c r="I30" s="85">
        <v>5</v>
      </c>
      <c r="J30" s="85">
        <v>6</v>
      </c>
    </row>
    <row r="31" spans="4:13" x14ac:dyDescent="0.25">
      <c r="D31" s="81">
        <v>44105</v>
      </c>
      <c r="E31" s="85">
        <f t="shared" ref="E31:J31" si="2">E14</f>
        <v>3</v>
      </c>
      <c r="F31" s="85">
        <f t="shared" si="2"/>
        <v>34</v>
      </c>
      <c r="G31" s="85">
        <f t="shared" si="2"/>
        <v>62</v>
      </c>
      <c r="H31" s="85">
        <f t="shared" si="2"/>
        <v>80</v>
      </c>
      <c r="I31" s="85">
        <f t="shared" si="2"/>
        <v>91</v>
      </c>
      <c r="J31" s="85">
        <f t="shared" si="2"/>
        <v>99</v>
      </c>
    </row>
    <row r="32" spans="4:13" x14ac:dyDescent="0.25">
      <c r="D32" s="86">
        <v>44136</v>
      </c>
      <c r="E32" s="85">
        <f>E15</f>
        <v>72</v>
      </c>
      <c r="F32" s="85">
        <f>F15</f>
        <v>162</v>
      </c>
      <c r="G32" s="85">
        <f>G15</f>
        <v>240</v>
      </c>
      <c r="H32" s="85">
        <f>H15</f>
        <v>291</v>
      </c>
      <c r="I32" s="85">
        <f>I15</f>
        <v>323</v>
      </c>
      <c r="J32" s="88">
        <f>I32*$J$26</f>
        <v>351.39560439560438</v>
      </c>
    </row>
    <row r="33" spans="4:13" x14ac:dyDescent="0.25">
      <c r="D33" s="86">
        <v>44166</v>
      </c>
      <c r="E33" s="85">
        <f>E16</f>
        <v>74</v>
      </c>
      <c r="F33" s="85">
        <f>F16</f>
        <v>139</v>
      </c>
      <c r="G33" s="85">
        <f>G16</f>
        <v>201</v>
      </c>
      <c r="H33" s="85">
        <f>H16</f>
        <v>242</v>
      </c>
      <c r="I33" s="88">
        <f>H33*$I$26</f>
        <v>270.04851752021563</v>
      </c>
      <c r="J33" s="88">
        <f t="shared" ref="J33:J36" si="3">I33*$J$26</f>
        <v>293.78904653298179</v>
      </c>
    </row>
    <row r="34" spans="4:13" x14ac:dyDescent="0.25">
      <c r="D34" s="86">
        <v>44197</v>
      </c>
      <c r="E34" s="85">
        <f>E17</f>
        <v>71</v>
      </c>
      <c r="F34" s="85">
        <f>F17</f>
        <v>138</v>
      </c>
      <c r="G34" s="85">
        <f>G17</f>
        <v>190</v>
      </c>
      <c r="H34" s="88">
        <f>G34*$H$26</f>
        <v>231.55069582504967</v>
      </c>
      <c r="I34" s="88">
        <f t="shared" ref="I34:I36" si="4">H34*$I$26</f>
        <v>258.38810800962415</v>
      </c>
      <c r="J34" s="88">
        <f t="shared" si="3"/>
        <v>281.10354607640426</v>
      </c>
    </row>
    <row r="35" spans="4:13" x14ac:dyDescent="0.25">
      <c r="D35" s="86">
        <v>44228</v>
      </c>
      <c r="E35" s="85">
        <f>E18</f>
        <v>81</v>
      </c>
      <c r="F35" s="85">
        <f>F18</f>
        <v>137</v>
      </c>
      <c r="G35" s="88">
        <f>F35*$G$26</f>
        <v>200.72093023255812</v>
      </c>
      <c r="H35" s="88">
        <f t="shared" ref="H35:H36" si="5">G35*$H$26</f>
        <v>244.61616348421097</v>
      </c>
      <c r="I35" s="88">
        <f t="shared" si="4"/>
        <v>272.96790210906562</v>
      </c>
      <c r="J35" s="88">
        <f t="shared" si="3"/>
        <v>296.96508031645595</v>
      </c>
    </row>
    <row r="36" spans="4:13" x14ac:dyDescent="0.25">
      <c r="D36" s="86">
        <v>44256</v>
      </c>
      <c r="E36" s="85">
        <f>E19</f>
        <v>78</v>
      </c>
      <c r="F36" s="88">
        <f>E36*$F$26</f>
        <v>158.07308970099669</v>
      </c>
      <c r="G36" s="88">
        <f>F36*$G$26</f>
        <v>231.59545700378584</v>
      </c>
      <c r="H36" s="88">
        <f t="shared" si="5"/>
        <v>282.24257483761573</v>
      </c>
      <c r="I36" s="88">
        <f t="shared" si="4"/>
        <v>314.95532609911834</v>
      </c>
      <c r="J36" s="88">
        <f t="shared" si="3"/>
        <v>342.64370641552432</v>
      </c>
      <c r="M36" t="s">
        <v>177</v>
      </c>
    </row>
    <row r="37" spans="4:13" ht="15.75" thickBot="1" x14ac:dyDescent="0.3"/>
    <row r="38" spans="4:13" x14ac:dyDescent="0.25">
      <c r="D38" s="89"/>
      <c r="E38" s="90"/>
      <c r="F38" s="90"/>
      <c r="G38" s="90"/>
      <c r="H38" s="90" t="s">
        <v>49</v>
      </c>
      <c r="I38" s="91"/>
    </row>
    <row r="39" spans="4:13" x14ac:dyDescent="0.25">
      <c r="D39" s="92" t="s">
        <v>60</v>
      </c>
      <c r="H39" s="93">
        <f>SUM(J31:J36)</f>
        <v>1664.8969837369707</v>
      </c>
      <c r="I39" s="94"/>
    </row>
    <row r="40" spans="4:13" x14ac:dyDescent="0.25">
      <c r="D40" s="92" t="s">
        <v>61</v>
      </c>
      <c r="H40" s="93">
        <f>SUM(E5:J10)</f>
        <v>1069</v>
      </c>
      <c r="I40" s="94"/>
    </row>
    <row r="41" spans="4:13" ht="15.75" thickBot="1" x14ac:dyDescent="0.3">
      <c r="D41" s="95" t="s">
        <v>62</v>
      </c>
      <c r="E41" s="96"/>
      <c r="F41" s="96"/>
      <c r="G41" s="96"/>
      <c r="H41" s="97">
        <f>H39-H40</f>
        <v>595.8969837369707</v>
      </c>
      <c r="I41" s="98"/>
      <c r="M41" t="s">
        <v>177</v>
      </c>
    </row>
    <row r="42" spans="4:13" ht="15.75" thickBot="1" x14ac:dyDescent="0.3"/>
    <row r="43" spans="4:13" x14ac:dyDescent="0.25">
      <c r="D43" s="89" t="s">
        <v>82</v>
      </c>
      <c r="E43" s="90"/>
      <c r="F43" s="90"/>
      <c r="G43" s="90"/>
      <c r="H43" s="104">
        <v>1847.8543031702541</v>
      </c>
      <c r="I43" s="91"/>
    </row>
    <row r="44" spans="4:13" x14ac:dyDescent="0.25">
      <c r="D44" s="92" t="s">
        <v>83</v>
      </c>
      <c r="H44" s="93">
        <f>H40</f>
        <v>1069</v>
      </c>
      <c r="I44" s="94"/>
    </row>
    <row r="45" spans="4:13" ht="15.75" thickBot="1" x14ac:dyDescent="0.3">
      <c r="D45" s="95" t="s">
        <v>62</v>
      </c>
      <c r="E45" s="96"/>
      <c r="F45" s="96"/>
      <c r="G45" s="96"/>
      <c r="H45" s="97">
        <f>H43-H44</f>
        <v>778.85430317025407</v>
      </c>
      <c r="I45" s="98"/>
    </row>
    <row r="47" spans="4:13" x14ac:dyDescent="0.25">
      <c r="D47" s="11" t="s">
        <v>84</v>
      </c>
    </row>
    <row r="49" spans="4:13" x14ac:dyDescent="0.25">
      <c r="D49" t="s">
        <v>85</v>
      </c>
    </row>
    <row r="50" spans="4:13" x14ac:dyDescent="0.25">
      <c r="D50" t="s">
        <v>86</v>
      </c>
    </row>
    <row r="52" spans="4:13" x14ac:dyDescent="0.25">
      <c r="M52" t="s">
        <v>177</v>
      </c>
    </row>
    <row r="54" spans="4:13" x14ac:dyDescent="0.25">
      <c r="M54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input_Q1</vt:lpstr>
      <vt:lpstr>Q1(i)</vt:lpstr>
      <vt:lpstr>Q1(ii)</vt:lpstr>
      <vt:lpstr>Q1(iii)</vt:lpstr>
      <vt:lpstr>Q1(iv)</vt:lpstr>
      <vt:lpstr>input Q2</vt:lpstr>
      <vt:lpstr>Q2(i)</vt:lpstr>
      <vt:lpstr>Q2 (ii) &amp; (iii)</vt:lpstr>
      <vt:lpstr>Q2(iv)</vt:lpstr>
      <vt:lpstr>Q3 i a)b)c)</vt:lpstr>
      <vt:lpstr>Q3(ii)</vt:lpstr>
      <vt:lpstr>Q3(iii)</vt:lpstr>
      <vt:lpstr>Q3(iv)</vt:lpstr>
      <vt:lpstr>Q3(v)</vt:lpstr>
      <vt:lpstr>Q3(vi)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2022-05-26T07:36:05Z</dcterms:modified>
</cp:coreProperties>
</file>