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695"/>
  </bookViews>
  <sheets>
    <sheet name="Q1 Data" sheetId="1" r:id="rId1"/>
    <sheet name="Q1 (i)" sheetId="2" r:id="rId2"/>
    <sheet name="Q1 (ii)" sheetId="3" r:id="rId3"/>
    <sheet name="Q1 (iii)" sheetId="4" r:id="rId4"/>
    <sheet name="Q1 (iv)" sheetId="5" r:id="rId5"/>
    <sheet name="Q2 Data" sheetId="6" r:id="rId6"/>
    <sheet name="Q2 (i)" sheetId="7" r:id="rId7"/>
    <sheet name="Q2 (ii) (a)" sheetId="8" r:id="rId8"/>
    <sheet name="Q2 (ii) (b)" sheetId="9" r:id="rId9"/>
    <sheet name="Q2 (iii)" sheetId="12" r:id="rId10"/>
    <sheet name="Q3" sheetId="13" r:id="rId11"/>
    <sheet name="Q4" sheetId="14" r:id="rId12"/>
    <sheet name="Q5" sheetId="15" r:id="rId13"/>
    <sheet name="Q6" sheetId="16" r:id="rId14"/>
  </sheets>
  <calcPr calcId="152511" calcOnSave="0"/>
</workbook>
</file>

<file path=xl/calcChain.xml><?xml version="1.0" encoding="utf-8"?>
<calcChain xmlns="http://schemas.openxmlformats.org/spreadsheetml/2006/main">
  <c r="E7" i="7" l="1"/>
  <c r="E8" i="7"/>
  <c r="E9" i="7"/>
  <c r="E10" i="7"/>
  <c r="E11" i="7"/>
  <c r="E12" i="7"/>
  <c r="E13" i="7"/>
  <c r="E14" i="7"/>
  <c r="E15" i="7"/>
  <c r="E6" i="7"/>
  <c r="B30" i="16"/>
  <c r="Q16" i="16" s="1"/>
  <c r="F17" i="16"/>
  <c r="G16" i="16" s="1"/>
  <c r="H15" i="16" s="1"/>
  <c r="I14" i="16" s="1"/>
  <c r="M14" i="16" s="1"/>
  <c r="E18" i="16"/>
  <c r="F19" i="16" s="1"/>
  <c r="B13" i="15"/>
  <c r="B7" i="15"/>
  <c r="B8" i="15" s="1"/>
  <c r="B11" i="15" s="1"/>
  <c r="E8" i="14"/>
  <c r="G8" i="14" s="1"/>
  <c r="E9" i="14"/>
  <c r="G9" i="14" s="1"/>
  <c r="E11" i="14"/>
  <c r="G11" i="14" s="1"/>
  <c r="E12" i="14"/>
  <c r="G12" i="14" s="1"/>
  <c r="E6" i="14"/>
  <c r="G6" i="14" s="1"/>
  <c r="D7" i="14"/>
  <c r="E7" i="14" s="1"/>
  <c r="D8" i="14"/>
  <c r="D9" i="14"/>
  <c r="D10" i="14"/>
  <c r="E10" i="14" s="1"/>
  <c r="D11" i="14"/>
  <c r="D12" i="14"/>
  <c r="D6" i="14"/>
  <c r="D13" i="13"/>
  <c r="C7" i="13"/>
  <c r="F5" i="13"/>
  <c r="G5" i="13" s="1"/>
  <c r="G4" i="13"/>
  <c r="C8" i="13" s="1"/>
  <c r="C9" i="13" s="1"/>
  <c r="C10" i="13" s="1"/>
  <c r="F4" i="13"/>
  <c r="P14" i="16" l="1"/>
  <c r="G18" i="16"/>
  <c r="H17" i="16" s="1"/>
  <c r="I16" i="16" s="1"/>
  <c r="M16" i="16" s="1"/>
  <c r="P16" i="16" s="1"/>
  <c r="G20" i="16"/>
  <c r="H21" i="16" s="1"/>
  <c r="I22" i="16" s="1"/>
  <c r="M22" i="16" s="1"/>
  <c r="P22" i="16" s="1"/>
  <c r="G10" i="14"/>
  <c r="E13" i="13"/>
  <c r="G7" i="14"/>
  <c r="B10" i="15"/>
  <c r="C15" i="15" s="1"/>
  <c r="C19" i="15" s="1"/>
  <c r="N14" i="16"/>
  <c r="Q14" i="16" s="1"/>
  <c r="B14" i="14"/>
  <c r="F7" i="14" s="1"/>
  <c r="N16" i="16"/>
  <c r="H19" i="16"/>
  <c r="I18" i="16" s="1"/>
  <c r="M18" i="16" s="1"/>
  <c r="P18" i="16" s="1"/>
  <c r="F10" i="14" l="1"/>
  <c r="F8" i="14"/>
  <c r="F9" i="14"/>
  <c r="F12" i="14"/>
  <c r="F11" i="14"/>
  <c r="B33" i="16"/>
  <c r="F6" i="14"/>
  <c r="B36" i="16"/>
  <c r="I20" i="16"/>
  <c r="M20" i="16" s="1"/>
  <c r="P20" i="16" s="1"/>
  <c r="B16" i="14" l="1"/>
  <c r="B15" i="14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11" i="12"/>
  <c r="H11" i="12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10" i="12"/>
  <c r="H11" i="9"/>
  <c r="H12" i="9" s="1"/>
  <c r="D11" i="9"/>
  <c r="G11" i="9" s="1"/>
  <c r="G10" i="9"/>
  <c r="F10" i="9"/>
  <c r="E10" i="9"/>
  <c r="E11" i="9" s="1"/>
  <c r="H11" i="8"/>
  <c r="G11" i="8"/>
  <c r="G10" i="8"/>
  <c r="F11" i="8"/>
  <c r="F10" i="8"/>
  <c r="D11" i="8"/>
  <c r="F5" i="7"/>
  <c r="F6" i="7" s="1"/>
  <c r="D2" i="7"/>
  <c r="D1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I11" i="8" l="1"/>
  <c r="J11" i="8" s="1"/>
  <c r="L11" i="8" s="1"/>
  <c r="D1" i="12"/>
  <c r="E10" i="12" s="1"/>
  <c r="E11" i="12" s="1"/>
  <c r="H12" i="8"/>
  <c r="G5" i="7"/>
  <c r="G6" i="7" s="1"/>
  <c r="G7" i="7" s="1"/>
  <c r="G8" i="7" s="1"/>
  <c r="G9" i="7" s="1"/>
  <c r="G10" i="7" s="1"/>
  <c r="G11" i="7" s="1"/>
  <c r="G12" i="7" s="1"/>
  <c r="G13" i="7" s="1"/>
  <c r="G14" i="7" s="1"/>
  <c r="G15" i="7" s="1"/>
  <c r="F11" i="9"/>
  <c r="H13" i="9"/>
  <c r="E12" i="9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I11" i="9"/>
  <c r="J11" i="9" s="1"/>
  <c r="L11" i="9" s="1"/>
  <c r="D12" i="9"/>
  <c r="D12" i="8"/>
  <c r="F7" i="7"/>
  <c r="H6" i="7"/>
  <c r="H5" i="7"/>
  <c r="H13" i="8" l="1"/>
  <c r="I12" i="8"/>
  <c r="G12" i="8"/>
  <c r="F12" i="8"/>
  <c r="E12" i="12"/>
  <c r="I11" i="12"/>
  <c r="J11" i="12" s="1"/>
  <c r="K11" i="12" s="1"/>
  <c r="L11" i="12" s="1"/>
  <c r="F12" i="9"/>
  <c r="G12" i="9"/>
  <c r="D13" i="9"/>
  <c r="H14" i="9"/>
  <c r="I13" i="9"/>
  <c r="I12" i="9"/>
  <c r="D13" i="8"/>
  <c r="F8" i="7"/>
  <c r="H7" i="7"/>
  <c r="E13" i="12" l="1"/>
  <c r="I12" i="12"/>
  <c r="J12" i="12" s="1"/>
  <c r="K12" i="12" s="1"/>
  <c r="L12" i="12" s="1"/>
  <c r="J12" i="8"/>
  <c r="L12" i="8" s="1"/>
  <c r="G13" i="8"/>
  <c r="F13" i="8"/>
  <c r="H14" i="8"/>
  <c r="I13" i="8"/>
  <c r="J13" i="8" s="1"/>
  <c r="L13" i="8" s="1"/>
  <c r="J12" i="9"/>
  <c r="L12" i="9" s="1"/>
  <c r="F13" i="9"/>
  <c r="G13" i="9"/>
  <c r="J13" i="9" s="1"/>
  <c r="L13" i="9" s="1"/>
  <c r="D14" i="9"/>
  <c r="H15" i="9"/>
  <c r="I14" i="9"/>
  <c r="D14" i="8"/>
  <c r="F9" i="7"/>
  <c r="H8" i="7"/>
  <c r="E14" i="12" l="1"/>
  <c r="I13" i="12"/>
  <c r="J13" i="12" s="1"/>
  <c r="K13" i="12" s="1"/>
  <c r="L13" i="12" s="1"/>
  <c r="G14" i="8"/>
  <c r="F14" i="8"/>
  <c r="H15" i="8"/>
  <c r="I14" i="8"/>
  <c r="J14" i="8" s="1"/>
  <c r="L14" i="8" s="1"/>
  <c r="H16" i="9"/>
  <c r="I15" i="9"/>
  <c r="F14" i="9"/>
  <c r="J14" i="9" s="1"/>
  <c r="L14" i="9" s="1"/>
  <c r="G14" i="9"/>
  <c r="D15" i="9"/>
  <c r="D15" i="8"/>
  <c r="F10" i="7"/>
  <c r="H9" i="7"/>
  <c r="G15" i="8" l="1"/>
  <c r="F15" i="8"/>
  <c r="H16" i="8"/>
  <c r="I15" i="8"/>
  <c r="E15" i="12"/>
  <c r="I14" i="12"/>
  <c r="J14" i="12" s="1"/>
  <c r="K14" i="12" s="1"/>
  <c r="L14" i="12" s="1"/>
  <c r="F15" i="9"/>
  <c r="J15" i="9" s="1"/>
  <c r="L15" i="9" s="1"/>
  <c r="G15" i="9"/>
  <c r="D16" i="9"/>
  <c r="H17" i="9"/>
  <c r="I16" i="9"/>
  <c r="D16" i="8"/>
  <c r="F11" i="7"/>
  <c r="H10" i="7"/>
  <c r="E16" i="12" l="1"/>
  <c r="I15" i="12"/>
  <c r="J15" i="12" s="1"/>
  <c r="K15" i="12" s="1"/>
  <c r="L15" i="12" s="1"/>
  <c r="G16" i="8"/>
  <c r="F16" i="8"/>
  <c r="H17" i="8"/>
  <c r="I16" i="8"/>
  <c r="J15" i="8"/>
  <c r="L15" i="8" s="1"/>
  <c r="I17" i="9"/>
  <c r="H18" i="9"/>
  <c r="F16" i="9"/>
  <c r="G16" i="9"/>
  <c r="D17" i="9"/>
  <c r="D17" i="8"/>
  <c r="F12" i="7"/>
  <c r="H11" i="7"/>
  <c r="J16" i="8" l="1"/>
  <c r="L16" i="8" s="1"/>
  <c r="G17" i="8"/>
  <c r="F17" i="8"/>
  <c r="H18" i="8"/>
  <c r="I17" i="8"/>
  <c r="E17" i="12"/>
  <c r="I16" i="12"/>
  <c r="J16" i="12" s="1"/>
  <c r="K16" i="12" s="1"/>
  <c r="L16" i="12" s="1"/>
  <c r="J16" i="9"/>
  <c r="L16" i="9" s="1"/>
  <c r="F17" i="9"/>
  <c r="J17" i="9" s="1"/>
  <c r="L17" i="9" s="1"/>
  <c r="G17" i="9"/>
  <c r="D18" i="9"/>
  <c r="H19" i="9"/>
  <c r="I18" i="9"/>
  <c r="D18" i="8"/>
  <c r="F13" i="7"/>
  <c r="H12" i="7"/>
  <c r="E18" i="12" l="1"/>
  <c r="I17" i="12"/>
  <c r="J17" i="12" s="1"/>
  <c r="K17" i="12" s="1"/>
  <c r="L17" i="12" s="1"/>
  <c r="J17" i="8"/>
  <c r="L17" i="8" s="1"/>
  <c r="H19" i="8"/>
  <c r="I18" i="8"/>
  <c r="G18" i="8"/>
  <c r="F18" i="8"/>
  <c r="F18" i="9"/>
  <c r="J18" i="9" s="1"/>
  <c r="L18" i="9" s="1"/>
  <c r="G18" i="9"/>
  <c r="D19" i="9"/>
  <c r="H20" i="9"/>
  <c r="I19" i="9"/>
  <c r="D19" i="8"/>
  <c r="F14" i="7"/>
  <c r="H13" i="7"/>
  <c r="F19" i="8" l="1"/>
  <c r="G19" i="8"/>
  <c r="J18" i="8"/>
  <c r="L18" i="8" s="1"/>
  <c r="H20" i="8"/>
  <c r="I19" i="8"/>
  <c r="J19" i="8" s="1"/>
  <c r="L19" i="8" s="1"/>
  <c r="E19" i="12"/>
  <c r="I18" i="12"/>
  <c r="J18" i="12" s="1"/>
  <c r="K18" i="12" s="1"/>
  <c r="L18" i="12" s="1"/>
  <c r="F19" i="9"/>
  <c r="J19" i="9" s="1"/>
  <c r="L19" i="9" s="1"/>
  <c r="G19" i="9"/>
  <c r="D20" i="9"/>
  <c r="H21" i="9"/>
  <c r="I20" i="9"/>
  <c r="D20" i="8"/>
  <c r="F15" i="7"/>
  <c r="H15" i="7" s="1"/>
  <c r="H14" i="7"/>
  <c r="G20" i="8" l="1"/>
  <c r="F20" i="8"/>
  <c r="E20" i="12"/>
  <c r="I19" i="12"/>
  <c r="J19" i="12" s="1"/>
  <c r="K19" i="12" s="1"/>
  <c r="L19" i="12" s="1"/>
  <c r="H21" i="8"/>
  <c r="I20" i="8"/>
  <c r="J20" i="8" s="1"/>
  <c r="L20" i="8" s="1"/>
  <c r="H22" i="9"/>
  <c r="I21" i="9"/>
  <c r="J20" i="9"/>
  <c r="L20" i="9" s="1"/>
  <c r="F20" i="9"/>
  <c r="G20" i="9"/>
  <c r="D21" i="9"/>
  <c r="D21" i="8"/>
  <c r="G21" i="8" l="1"/>
  <c r="F21" i="8"/>
  <c r="H22" i="8"/>
  <c r="I21" i="8"/>
  <c r="J21" i="8" s="1"/>
  <c r="L21" i="8" s="1"/>
  <c r="E21" i="12"/>
  <c r="I20" i="12"/>
  <c r="J20" i="12" s="1"/>
  <c r="K20" i="12" s="1"/>
  <c r="L20" i="12" s="1"/>
  <c r="F21" i="9"/>
  <c r="J21" i="9" s="1"/>
  <c r="L21" i="9" s="1"/>
  <c r="G21" i="9"/>
  <c r="D22" i="9"/>
  <c r="H23" i="9"/>
  <c r="I22" i="9"/>
  <c r="D22" i="8"/>
  <c r="E22" i="12" l="1"/>
  <c r="I21" i="12"/>
  <c r="J21" i="12" s="1"/>
  <c r="K21" i="12" s="1"/>
  <c r="L21" i="12" s="1"/>
  <c r="G22" i="8"/>
  <c r="F22" i="8"/>
  <c r="H23" i="8"/>
  <c r="I22" i="8"/>
  <c r="J22" i="8" s="1"/>
  <c r="L22" i="8" s="1"/>
  <c r="F22" i="9"/>
  <c r="G22" i="9"/>
  <c r="D23" i="9"/>
  <c r="H24" i="9"/>
  <c r="I23" i="9"/>
  <c r="D23" i="8"/>
  <c r="H24" i="8" l="1"/>
  <c r="I23" i="8"/>
  <c r="J22" i="9"/>
  <c r="L22" i="9" s="1"/>
  <c r="G23" i="8"/>
  <c r="F23" i="8"/>
  <c r="E23" i="12"/>
  <c r="I22" i="12"/>
  <c r="J22" i="12" s="1"/>
  <c r="K22" i="12" s="1"/>
  <c r="L22" i="12" s="1"/>
  <c r="F23" i="9"/>
  <c r="J23" i="9" s="1"/>
  <c r="L23" i="9" s="1"/>
  <c r="G23" i="9"/>
  <c r="D24" i="9"/>
  <c r="H25" i="9"/>
  <c r="I25" i="9" s="1"/>
  <c r="I24" i="9"/>
  <c r="D24" i="8"/>
  <c r="E24" i="12" l="1"/>
  <c r="I23" i="12"/>
  <c r="J23" i="12" s="1"/>
  <c r="K23" i="12" s="1"/>
  <c r="L23" i="12" s="1"/>
  <c r="G24" i="8"/>
  <c r="F24" i="8"/>
  <c r="J23" i="8"/>
  <c r="L23" i="8" s="1"/>
  <c r="H25" i="8"/>
  <c r="I25" i="8" s="1"/>
  <c r="I24" i="8"/>
  <c r="J24" i="8" s="1"/>
  <c r="L24" i="8" s="1"/>
  <c r="F24" i="9"/>
  <c r="J24" i="9" s="1"/>
  <c r="L24" i="9" s="1"/>
  <c r="G24" i="9"/>
  <c r="D25" i="9"/>
  <c r="D25" i="8"/>
  <c r="J25" i="8" l="1"/>
  <c r="L25" i="8" s="1"/>
  <c r="G25" i="8"/>
  <c r="F25" i="8"/>
  <c r="E25" i="12"/>
  <c r="I25" i="12" s="1"/>
  <c r="J25" i="12" s="1"/>
  <c r="K25" i="12" s="1"/>
  <c r="L25" i="12" s="1"/>
  <c r="I24" i="12"/>
  <c r="J24" i="12" s="1"/>
  <c r="K24" i="12" s="1"/>
  <c r="L24" i="12" s="1"/>
  <c r="G25" i="9"/>
  <c r="F25" i="9"/>
  <c r="J25" i="9" l="1"/>
  <c r="L25" i="9" s="1"/>
  <c r="F8" i="5" l="1"/>
  <c r="F12" i="5"/>
  <c r="F16" i="5"/>
  <c r="F20" i="5"/>
  <c r="F24" i="5"/>
  <c r="F28" i="5"/>
  <c r="F32" i="5"/>
  <c r="F5" i="5"/>
  <c r="N15" i="5"/>
  <c r="N14" i="5"/>
  <c r="G11" i="5" s="1"/>
  <c r="N11" i="5"/>
  <c r="N10" i="5"/>
  <c r="N7" i="5"/>
  <c r="G9" i="5" s="1"/>
  <c r="N6" i="5"/>
  <c r="F9" i="5" s="1"/>
  <c r="D10" i="3"/>
  <c r="D12" i="3" s="1"/>
  <c r="E6" i="2"/>
  <c r="F6" i="2"/>
  <c r="D6" i="2"/>
  <c r="E4" i="2"/>
  <c r="D13" i="2" s="1"/>
  <c r="F4" i="2"/>
  <c r="D14" i="2" s="1"/>
  <c r="D4" i="2"/>
  <c r="D12" i="2" s="1"/>
  <c r="D6" i="3" s="1"/>
  <c r="D9" i="2"/>
  <c r="D25" i="2" s="1"/>
  <c r="F31" i="2" l="1"/>
  <c r="E32" i="2"/>
  <c r="D6" i="4"/>
  <c r="G32" i="5"/>
  <c r="G28" i="5"/>
  <c r="G24" i="5"/>
  <c r="G20" i="5"/>
  <c r="G16" i="5"/>
  <c r="G12" i="5"/>
  <c r="G8" i="5"/>
  <c r="G31" i="5"/>
  <c r="G27" i="5"/>
  <c r="G23" i="5"/>
  <c r="G19" i="5"/>
  <c r="G15" i="5"/>
  <c r="G7" i="5"/>
  <c r="D19" i="2"/>
  <c r="F32" i="2" s="1"/>
  <c r="D23" i="2"/>
  <c r="G5" i="5"/>
  <c r="F31" i="5"/>
  <c r="F27" i="5"/>
  <c r="F23" i="5"/>
  <c r="F19" i="5"/>
  <c r="F15" i="5"/>
  <c r="F11" i="5"/>
  <c r="F7" i="5"/>
  <c r="G34" i="5"/>
  <c r="G30" i="5"/>
  <c r="G26" i="5"/>
  <c r="G22" i="5"/>
  <c r="G18" i="5"/>
  <c r="G14" i="5"/>
  <c r="G10" i="5"/>
  <c r="G6" i="5"/>
  <c r="D18" i="2"/>
  <c r="E31" i="2" s="1"/>
  <c r="D24" i="2"/>
  <c r="F34" i="5"/>
  <c r="F30" i="5"/>
  <c r="F26" i="5"/>
  <c r="F22" i="5"/>
  <c r="F18" i="5"/>
  <c r="F14" i="5"/>
  <c r="F10" i="5"/>
  <c r="F6" i="5"/>
  <c r="N16" i="5" s="1"/>
  <c r="N18" i="5" s="1"/>
  <c r="D17" i="2"/>
  <c r="D30" i="2" s="1"/>
  <c r="G33" i="5"/>
  <c r="G29" i="5"/>
  <c r="G25" i="5"/>
  <c r="G21" i="5"/>
  <c r="G17" i="5"/>
  <c r="G13" i="5"/>
  <c r="F33" i="5"/>
  <c r="F29" i="5"/>
  <c r="F25" i="5"/>
  <c r="F21" i="5"/>
  <c r="F17" i="5"/>
  <c r="F13" i="5"/>
  <c r="F30" i="2" l="1"/>
  <c r="D32" i="2"/>
  <c r="N17" i="5"/>
  <c r="N19" i="5" s="1"/>
  <c r="E30" i="2"/>
  <c r="D31" i="2"/>
  <c r="D8" i="3" s="1"/>
  <c r="D14" i="3" s="1"/>
  <c r="C14" i="13"/>
  <c r="D8" i="4" l="1"/>
  <c r="D14" i="13"/>
  <c r="E14" i="13"/>
  <c r="C11" i="12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11" i="9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11" i="8" l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D6" i="7"/>
  <c r="E4" i="7"/>
  <c r="D4" i="7"/>
  <c r="C6" i="6"/>
  <c r="D7" i="7" s="1"/>
  <c r="C9" i="12" l="1"/>
  <c r="C9" i="9"/>
  <c r="C9" i="8"/>
  <c r="C7" i="6"/>
  <c r="D8" i="7" l="1"/>
  <c r="C8" i="6"/>
  <c r="C9" i="6" l="1"/>
  <c r="D9" i="7"/>
  <c r="D10" i="7" l="1"/>
  <c r="C10" i="6"/>
  <c r="D11" i="7" l="1"/>
  <c r="C11" i="6"/>
  <c r="D12" i="7" l="1"/>
  <c r="C12" i="6"/>
  <c r="C13" i="6" l="1"/>
  <c r="D13" i="7"/>
  <c r="D14" i="7" l="1"/>
  <c r="C14" i="6"/>
  <c r="D15" i="7" s="1"/>
  <c r="E4" i="4" l="1"/>
  <c r="E6" i="4" l="1"/>
  <c r="E8" i="4"/>
</calcChain>
</file>

<file path=xl/sharedStrings.xml><?xml version="1.0" encoding="utf-8"?>
<sst xmlns="http://schemas.openxmlformats.org/spreadsheetml/2006/main" count="309" uniqueCount="195">
  <si>
    <t>Security</t>
  </si>
  <si>
    <r>
      <t>α</t>
    </r>
    <r>
      <rPr>
        <vertAlign val="subscript"/>
        <sz val="16"/>
        <color theme="1"/>
        <rFont val="Calibri"/>
        <family val="2"/>
      </rPr>
      <t>i</t>
    </r>
  </si>
  <si>
    <r>
      <t>β</t>
    </r>
    <r>
      <rPr>
        <vertAlign val="subscript"/>
        <sz val="16"/>
        <color theme="1"/>
        <rFont val="Calibri"/>
        <family val="2"/>
      </rPr>
      <t>i</t>
    </r>
  </si>
  <si>
    <t>a.</t>
  </si>
  <si>
    <r>
      <t>E</t>
    </r>
    <r>
      <rPr>
        <vertAlign val="subscript"/>
        <sz val="16"/>
        <color theme="1"/>
        <rFont val="Calibri"/>
        <family val="2"/>
      </rPr>
      <t>M</t>
    </r>
  </si>
  <si>
    <r>
      <t>V</t>
    </r>
    <r>
      <rPr>
        <vertAlign val="subscript"/>
        <sz val="16"/>
        <color theme="1"/>
        <rFont val="Calibri"/>
        <family val="2"/>
      </rPr>
      <t>M</t>
    </r>
  </si>
  <si>
    <r>
      <t>V</t>
    </r>
    <r>
      <rPr>
        <vertAlign val="subscript"/>
        <sz val="16"/>
        <color theme="1"/>
        <rFont val="Calibri"/>
        <family val="2"/>
      </rPr>
      <t>εi</t>
    </r>
  </si>
  <si>
    <r>
      <t>E</t>
    </r>
    <r>
      <rPr>
        <vertAlign val="subscript"/>
        <sz val="12"/>
        <color theme="1"/>
        <rFont val="Calibri"/>
        <family val="2"/>
        <scheme val="minor"/>
      </rPr>
      <t>1</t>
    </r>
  </si>
  <si>
    <r>
      <t>E</t>
    </r>
    <r>
      <rPr>
        <vertAlign val="subscript"/>
        <sz val="12"/>
        <color theme="1"/>
        <rFont val="Calibri"/>
        <family val="2"/>
        <scheme val="minor"/>
      </rPr>
      <t>2</t>
    </r>
  </si>
  <si>
    <r>
      <t>E</t>
    </r>
    <r>
      <rPr>
        <vertAlign val="subscript"/>
        <sz val="12"/>
        <color theme="1"/>
        <rFont val="Calibri"/>
        <family val="2"/>
        <scheme val="minor"/>
      </rPr>
      <t>3</t>
    </r>
  </si>
  <si>
    <t>b.</t>
  </si>
  <si>
    <r>
      <t>σ</t>
    </r>
    <r>
      <rPr>
        <vertAlign val="subscript"/>
        <sz val="12"/>
        <color theme="1"/>
        <rFont val="Calibri"/>
        <family val="2"/>
        <scheme val="minor"/>
      </rPr>
      <t>1</t>
    </r>
  </si>
  <si>
    <r>
      <t>σ</t>
    </r>
    <r>
      <rPr>
        <vertAlign val="subscript"/>
        <sz val="12"/>
        <color theme="1"/>
        <rFont val="Calibri"/>
        <family val="2"/>
        <scheme val="minor"/>
      </rPr>
      <t>2</t>
    </r>
  </si>
  <si>
    <t>σ3</t>
  </si>
  <si>
    <r>
      <t>C</t>
    </r>
    <r>
      <rPr>
        <vertAlign val="subscript"/>
        <sz val="12"/>
        <color theme="1"/>
        <rFont val="Calibri"/>
        <family val="2"/>
        <scheme val="minor"/>
      </rPr>
      <t>1,2</t>
    </r>
  </si>
  <si>
    <r>
      <t>C</t>
    </r>
    <r>
      <rPr>
        <vertAlign val="subscript"/>
        <sz val="12"/>
        <color theme="1"/>
        <rFont val="Calibri"/>
        <family val="2"/>
        <scheme val="minor"/>
      </rPr>
      <t>1,3</t>
    </r>
  </si>
  <si>
    <r>
      <t>C2</t>
    </r>
    <r>
      <rPr>
        <vertAlign val="subscript"/>
        <sz val="12"/>
        <color theme="1"/>
        <rFont val="Calibri"/>
        <family val="2"/>
        <scheme val="minor"/>
      </rPr>
      <t>,3</t>
    </r>
  </si>
  <si>
    <t>Security 1</t>
  </si>
  <si>
    <t>Security 2</t>
  </si>
  <si>
    <t>Security 3</t>
  </si>
  <si>
    <t>a</t>
  </si>
  <si>
    <r>
      <t>α</t>
    </r>
    <r>
      <rPr>
        <b/>
        <vertAlign val="subscript"/>
        <sz val="16"/>
        <color theme="1"/>
        <rFont val="Calibri"/>
        <family val="2"/>
      </rPr>
      <t>i</t>
    </r>
  </si>
  <si>
    <r>
      <t>β</t>
    </r>
    <r>
      <rPr>
        <b/>
        <vertAlign val="subscript"/>
        <sz val="16"/>
        <color theme="1"/>
        <rFont val="Calibri"/>
        <family val="2"/>
      </rPr>
      <t>i</t>
    </r>
  </si>
  <si>
    <r>
      <t>ν</t>
    </r>
    <r>
      <rPr>
        <b/>
        <vertAlign val="subscript"/>
        <sz val="16"/>
        <color theme="1"/>
        <rFont val="Calibri"/>
        <family val="2"/>
      </rPr>
      <t>εi</t>
    </r>
  </si>
  <si>
    <t>Var (Portfolio A)</t>
  </si>
  <si>
    <t>Proportion of Sec 1</t>
  </si>
  <si>
    <t>Proportion of Sec 2</t>
  </si>
  <si>
    <t>Proportion of Sec 3</t>
  </si>
  <si>
    <t>b</t>
  </si>
  <si>
    <r>
      <t>Beta of Portfolio β</t>
    </r>
    <r>
      <rPr>
        <vertAlign val="subscript"/>
        <sz val="12"/>
        <color theme="1"/>
        <rFont val="Calibri"/>
        <family val="2"/>
      </rPr>
      <t xml:space="preserve">A </t>
    </r>
  </si>
  <si>
    <t>Systematic Risk</t>
  </si>
  <si>
    <t>c</t>
  </si>
  <si>
    <t>Specific Risk</t>
  </si>
  <si>
    <t>d</t>
  </si>
  <si>
    <t>Expected return (Portfolio A)</t>
  </si>
  <si>
    <t>Time Period</t>
  </si>
  <si>
    <t>Security X</t>
  </si>
  <si>
    <t>Security Y</t>
  </si>
  <si>
    <t>Expected return on security X</t>
  </si>
  <si>
    <t>Expected return on security Y</t>
  </si>
  <si>
    <t>Market Returns</t>
  </si>
  <si>
    <t>Expected Market Return</t>
  </si>
  <si>
    <t>Market Variance</t>
  </si>
  <si>
    <t>COV (X, M)</t>
  </si>
  <si>
    <t>COV (Y, M)</t>
  </si>
  <si>
    <t>beta of X</t>
  </si>
  <si>
    <t>beta of Y</t>
  </si>
  <si>
    <t>Comments</t>
  </si>
  <si>
    <t>a)</t>
  </si>
  <si>
    <t>Portfolio B</t>
  </si>
  <si>
    <t>Portfolio C</t>
  </si>
  <si>
    <t>b)</t>
  </si>
  <si>
    <t>c)</t>
  </si>
  <si>
    <t>c.</t>
  </si>
  <si>
    <t>Expected return</t>
  </si>
  <si>
    <t>Variance</t>
  </si>
  <si>
    <t>Variance of security X</t>
  </si>
  <si>
    <t>Variance of security Y</t>
  </si>
  <si>
    <t>Portfolio A</t>
  </si>
  <si>
    <t>Calendar Year ending</t>
  </si>
  <si>
    <t>Total return</t>
  </si>
  <si>
    <t>initial invesment</t>
  </si>
  <si>
    <t>Stock market fund movement</t>
  </si>
  <si>
    <t>initial investment</t>
  </si>
  <si>
    <t>mean</t>
  </si>
  <si>
    <t>interest on deposits</t>
  </si>
  <si>
    <t>variance</t>
  </si>
  <si>
    <t>ruin probability</t>
  </si>
  <si>
    <t>Initial trigger</t>
  </si>
  <si>
    <t>t</t>
  </si>
  <si>
    <t>Cumulative value of bank deposit</t>
  </si>
  <si>
    <t>Mu t</t>
  </si>
  <si>
    <t>Prob of ruin</t>
  </si>
  <si>
    <t>Amount invested</t>
  </si>
  <si>
    <t xml:space="preserve">Bank deposit fund movement </t>
  </si>
  <si>
    <t>Movement of the Total Fund (Surplus Process)</t>
  </si>
  <si>
    <t>(sigma^2) t</t>
  </si>
  <si>
    <t>Use as many columns as you need; feel free to insert more columns if necessary</t>
  </si>
  <si>
    <t>Chart</t>
  </si>
  <si>
    <t>Comment</t>
  </si>
  <si>
    <t>i</t>
  </si>
  <si>
    <t>Mean</t>
  </si>
  <si>
    <t>SD</t>
  </si>
  <si>
    <t>Prob.</t>
  </si>
  <si>
    <t>R1</t>
  </si>
  <si>
    <t>R2</t>
  </si>
  <si>
    <t>R</t>
  </si>
  <si>
    <t>E(R )</t>
  </si>
  <si>
    <t>V(R )</t>
  </si>
  <si>
    <t>ii</t>
  </si>
  <si>
    <t>S</t>
  </si>
  <si>
    <t>Shortfall probability</t>
  </si>
  <si>
    <t>Current share price</t>
  </si>
  <si>
    <t>No. of shares</t>
  </si>
  <si>
    <t>Share price</t>
  </si>
  <si>
    <t>Mean Return =</t>
  </si>
  <si>
    <t>Variance =</t>
  </si>
  <si>
    <t>Downside Semi-Variance =</t>
  </si>
  <si>
    <t>St</t>
  </si>
  <si>
    <t>K</t>
  </si>
  <si>
    <t>r</t>
  </si>
  <si>
    <t>T</t>
  </si>
  <si>
    <t>d1</t>
  </si>
  <si>
    <t>d2</t>
  </si>
  <si>
    <t>Ke^-rT</t>
  </si>
  <si>
    <t>Put call parity</t>
  </si>
  <si>
    <t>Strike proce</t>
  </si>
  <si>
    <t>per 3-months</t>
  </si>
  <si>
    <t>Binomial tree</t>
  </si>
  <si>
    <t>= E(S)</t>
  </si>
  <si>
    <t>= V(S)</t>
  </si>
  <si>
    <t>Std Dev (R )</t>
  </si>
  <si>
    <t>Probability</t>
  </si>
  <si>
    <t>Profit per share</t>
  </si>
  <si>
    <t>Profit on total investment</t>
  </si>
  <si>
    <t>Call option price</t>
  </si>
  <si>
    <t>Put option price</t>
  </si>
  <si>
    <t xml:space="preserve">c = </t>
  </si>
  <si>
    <t xml:space="preserve">p = </t>
  </si>
  <si>
    <t>σ</t>
  </si>
  <si>
    <t>N(d1)</t>
  </si>
  <si>
    <t>N(d2)</t>
  </si>
  <si>
    <t>u</t>
  </si>
  <si>
    <t>pu</t>
  </si>
  <si>
    <t>pd</t>
  </si>
  <si>
    <t>up movement</t>
  </si>
  <si>
    <t>down movement</t>
  </si>
  <si>
    <t>up probability</t>
  </si>
  <si>
    <t>down probability</t>
  </si>
  <si>
    <t xml:space="preserve">q = </t>
  </si>
  <si>
    <t>Risk-neutral probability of up jump (q)</t>
  </si>
  <si>
    <t>Risk-neutral probability</t>
  </si>
  <si>
    <t>Option payoff</t>
  </si>
  <si>
    <t>Simple Option</t>
  </si>
  <si>
    <t>Barrier Option</t>
  </si>
  <si>
    <t>Simple European call option price</t>
  </si>
  <si>
    <t xml:space="preserve">SP = </t>
  </si>
  <si>
    <t>Barrier European call option price</t>
  </si>
  <si>
    <t xml:space="preserve">BP = </t>
  </si>
  <si>
    <t>Marks Allocated</t>
  </si>
  <si>
    <t>for correct variances</t>
  </si>
  <si>
    <t>for correct covariances</t>
  </si>
  <si>
    <t>1 marks</t>
  </si>
  <si>
    <t>2 marks</t>
  </si>
  <si>
    <t>1.5 marks</t>
  </si>
  <si>
    <t>The expected return on Portfolio A and Portfolio B is the same,However the expected return for Portfolio C is higher than the two.</t>
  </si>
  <si>
    <t>0.5 marks</t>
  </si>
  <si>
    <t>The variance on portfolio C is equal to the variance for portfolio B which is lower compared to  portfolio A</t>
  </si>
  <si>
    <t xml:space="preserve">Portfolio C is most efficient between the three given portfolios. </t>
  </si>
  <si>
    <t>1 mark</t>
  </si>
  <si>
    <t>(X-Avg(X))*(M-Avg(M))</t>
  </si>
  <si>
    <t>(Y-Avg(Y))*(M-Avg(M))</t>
  </si>
  <si>
    <t>The expected return for security X is lower than security Y even though the variance for security X  is higher compared to security Y.</t>
  </si>
  <si>
    <t>This is not inconsistent with the assumptions of the  CAPM model as what counts in the determination of expected returns for inefficient portfolios/securities is beta and not the standard deviation.</t>
  </si>
  <si>
    <t>The beta for security Y is higher than beta for security X which is consistent with the expected return for the two securities in line with the assumptions of the the CAPM model</t>
  </si>
  <si>
    <t>3 marks</t>
  </si>
  <si>
    <t>( maximum 3 marks)</t>
  </si>
  <si>
    <t xml:space="preserve">'= prob ( U t &lt; 50 * (1+ .08) ^ (t -1)* lakhs) </t>
  </si>
  <si>
    <t>Trigger</t>
  </si>
  <si>
    <t>Breakeven stock return</t>
  </si>
  <si>
    <t>z-value</t>
  </si>
  <si>
    <t>1 mark for all the data in D1, D2, I1, I2, D6</t>
  </si>
  <si>
    <t>As expected , probability of Ruin has reduced as the Initial Surplus has increased</t>
  </si>
  <si>
    <t>2 marks for chart (incl. legend)</t>
  </si>
  <si>
    <t>1 mark for table</t>
  </si>
  <si>
    <t>Cumulative value of payment received till date</t>
  </si>
  <si>
    <t>Payments received</t>
  </si>
  <si>
    <t>Total investment value</t>
  </si>
  <si>
    <t>No. of loss events than can cause ruin</t>
  </si>
  <si>
    <t>Max number of loss events that can be withstood</t>
  </si>
  <si>
    <t>2 mark</t>
  </si>
  <si>
    <t>1 mark for all the remaining (unchanged) columns and data above</t>
  </si>
  <si>
    <t>Note:</t>
  </si>
  <si>
    <t>The αi and Vεi were meant to be given as % and %% respectively, i.e. security 2 should have αi = 2.6% and Vεi = 1.5%%. However, given the ambiguity, no marks should be deducted in case the student has used these as is, without adjustments, as long as subsequent formulae / calculations are correct.</t>
  </si>
  <si>
    <t>E(R^2)</t>
  </si>
  <si>
    <t>E(Ri^2)</t>
  </si>
  <si>
    <t>(x-mean)^2</t>
  </si>
  <si>
    <t>Indicator of downside</t>
  </si>
  <si>
    <t>years</t>
  </si>
  <si>
    <t>per annum</t>
  </si>
  <si>
    <t>For a non dividend paying stock, c + K*exp(-rt) = p + S</t>
  </si>
  <si>
    <t>0.5 marks for data in B1:B5</t>
  </si>
  <si>
    <t>Now</t>
  </si>
  <si>
    <t>3m</t>
  </si>
  <si>
    <t>6m</t>
  </si>
  <si>
    <t>9m</t>
  </si>
  <si>
    <t>12m</t>
  </si>
  <si>
    <t>0.5 mark for data in B1:B7</t>
  </si>
  <si>
    <t>2.5 marks for the binomial tree</t>
  </si>
  <si>
    <t>1.5 marks each - total 3</t>
  </si>
  <si>
    <t>0.5 mark - same as simple option</t>
  </si>
  <si>
    <t>The barrier option price is less than (in fact, just over half of) the simple option price. This is expected because, the scenarios where the barrier option pays off is a proper subset of the scenarios where the simple option pays off.</t>
  </si>
  <si>
    <t>1.5 mark for second; 0.5 marks for first (which is same as before) - total 2</t>
  </si>
  <si>
    <t>Overall 1 mark to be deducted if Em, Vm values incorrect.</t>
  </si>
  <si>
    <t>Deduct 0.5 marks if population (rather than sample) variance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</si>
</sst>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_-* #,##0.00_-;\-* #,##0.00_-;_-* &quot;-&quot;??_-;_-@_-"/>
    <numFmt numFmtId="165" formatCode="0.0"/>
    <numFmt numFmtId="166" formatCode="0.0000%"/>
    <numFmt numFmtId="167" formatCode="_(* #,##0.00_);_(* \(#,##0.00\);_(* &quot;-&quot;??_);_(@_)"/>
    <numFmt numFmtId="168" formatCode="_(* #,##0_);_(* \(#,##0\);_(* &quot;-&quot;??_);_(@_)"/>
    <numFmt numFmtId="169" formatCode="_(* #,##0.0000_);_(* \(#,##0.0000\);_(* &quot;-&quot;??_);_(@_)"/>
    <numFmt numFmtId="170" formatCode="_ * #,##0_ ;_ * \-#,##0_ ;_ * &quot;-&quot;??_ ;_ @_ "/>
    <numFmt numFmtId="171" formatCode="0.0%"/>
    <numFmt numFmtId="172" formatCode="0.0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</font>
    <font>
      <vertAlign val="subscript"/>
      <sz val="16"/>
      <color theme="1"/>
      <name val="Calibri"/>
      <family val="2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vertAlign val="subscript"/>
      <sz val="16"/>
      <color theme="1"/>
      <name val="Calibri"/>
      <family val="2"/>
    </font>
    <font>
      <b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9" fontId="0" fillId="0" borderId="0" xfId="1" applyFont="1"/>
    <xf numFmtId="9" fontId="0" fillId="0" borderId="0" xfId="0" applyNumberFormat="1"/>
    <xf numFmtId="10" fontId="0" fillId="0" borderId="0" xfId="0" applyNumberFormat="1"/>
    <xf numFmtId="0" fontId="0" fillId="0" borderId="0" xfId="1" applyNumberFormat="1" applyFont="1"/>
    <xf numFmtId="9" fontId="4" fillId="0" borderId="0" xfId="1" applyFont="1"/>
    <xf numFmtId="0" fontId="6" fillId="0" borderId="0" xfId="0" applyFont="1"/>
    <xf numFmtId="0" fontId="6" fillId="2" borderId="0" xfId="0" applyFont="1" applyFill="1"/>
    <xf numFmtId="0" fontId="0" fillId="2" borderId="0" xfId="0" applyFill="1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1" xfId="1" applyNumberFormat="1" applyFont="1" applyBorder="1"/>
    <xf numFmtId="0" fontId="0" fillId="0" borderId="1" xfId="1" applyNumberFormat="1" applyFont="1" applyBorder="1"/>
    <xf numFmtId="9" fontId="0" fillId="0" borderId="1" xfId="1" applyFont="1" applyBorder="1"/>
    <xf numFmtId="9" fontId="8" fillId="0" borderId="1" xfId="1" applyFont="1" applyBorder="1"/>
    <xf numFmtId="0" fontId="10" fillId="0" borderId="0" xfId="0" applyFont="1"/>
    <xf numFmtId="0" fontId="3" fillId="0" borderId="0" xfId="0" applyFont="1"/>
    <xf numFmtId="0" fontId="6" fillId="0" borderId="0" xfId="0" applyFont="1" applyFill="1"/>
    <xf numFmtId="9" fontId="0" fillId="0" borderId="0" xfId="1" applyNumberFormat="1" applyFont="1"/>
    <xf numFmtId="10" fontId="0" fillId="2" borderId="0" xfId="0" applyNumberFormat="1" applyFill="1"/>
    <xf numFmtId="10" fontId="0" fillId="2" borderId="0" xfId="0" applyNumberFormat="1" applyFill="1" applyAlignment="1"/>
    <xf numFmtId="10" fontId="0" fillId="2" borderId="0" xfId="1" applyNumberFormat="1" applyFont="1" applyFill="1"/>
    <xf numFmtId="2" fontId="0" fillId="2" borderId="0" xfId="0" applyNumberFormat="1" applyFill="1"/>
    <xf numFmtId="10" fontId="0" fillId="0" borderId="0" xfId="0" applyNumberFormat="1" applyAlignment="1">
      <alignment horizontal="center" vertical="center"/>
    </xf>
    <xf numFmtId="0" fontId="3" fillId="2" borderId="0" xfId="0" applyFont="1" applyFill="1"/>
    <xf numFmtId="0" fontId="0" fillId="0" borderId="0" xfId="0" applyFill="1"/>
    <xf numFmtId="9" fontId="0" fillId="2" borderId="0" xfId="0" applyNumberFormat="1" applyFill="1"/>
    <xf numFmtId="9" fontId="6" fillId="0" borderId="0" xfId="1" applyFont="1" applyFill="1"/>
    <xf numFmtId="166" fontId="6" fillId="0" borderId="0" xfId="1" applyNumberFormat="1" applyFont="1"/>
    <xf numFmtId="9" fontId="0" fillId="2" borderId="0" xfId="1" applyFont="1" applyFill="1"/>
    <xf numFmtId="9" fontId="0" fillId="0" borderId="0" xfId="1" applyFont="1" applyFill="1"/>
    <xf numFmtId="10" fontId="0" fillId="0" borderId="0" xfId="0" applyNumberFormat="1" applyFill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168" fontId="0" fillId="0" borderId="0" xfId="4" applyNumberFormat="1" applyFont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ill="1" applyAlignment="1">
      <alignment wrapText="1"/>
    </xf>
    <xf numFmtId="168" fontId="0" fillId="2" borderId="0" xfId="4" applyNumberFormat="1" applyFont="1" applyFill="1"/>
    <xf numFmtId="0" fontId="0" fillId="0" borderId="0" xfId="0" quotePrefix="1" applyFill="1"/>
    <xf numFmtId="168" fontId="0" fillId="2" borderId="0" xfId="5" applyNumberFormat="1" applyFont="1" applyFill="1"/>
    <xf numFmtId="0" fontId="0" fillId="2" borderId="1" xfId="0" applyFill="1" applyBorder="1"/>
    <xf numFmtId="168" fontId="0" fillId="2" borderId="1" xfId="5" applyNumberFormat="1" applyFont="1" applyFill="1" applyBorder="1"/>
    <xf numFmtId="168" fontId="0" fillId="2" borderId="1" xfId="0" applyNumberFormat="1" applyFill="1" applyBorder="1"/>
    <xf numFmtId="169" fontId="0" fillId="2" borderId="1" xfId="0" applyNumberFormat="1" applyFill="1" applyBorder="1"/>
    <xf numFmtId="10" fontId="0" fillId="2" borderId="1" xfId="1" applyNumberFormat="1" applyFont="1" applyFill="1" applyBorder="1"/>
    <xf numFmtId="167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2" borderId="1" xfId="0" quotePrefix="1" applyFill="1" applyBorder="1" applyAlignment="1">
      <alignment wrapText="1"/>
    </xf>
    <xf numFmtId="0" fontId="0" fillId="0" borderId="0" xfId="0" applyAlignment="1">
      <alignment horizontal="left" vertical="center" indent="2"/>
    </xf>
    <xf numFmtId="9" fontId="0" fillId="0" borderId="0" xfId="0" applyNumberFormat="1" applyAlignment="1">
      <alignment horizontal="center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0" fontId="12" fillId="0" borderId="0" xfId="0" applyFont="1"/>
    <xf numFmtId="0" fontId="0" fillId="0" borderId="0" xfId="0" quotePrefix="1"/>
    <xf numFmtId="10" fontId="0" fillId="2" borderId="0" xfId="1" applyNumberFormat="1" applyFont="1" applyFill="1" applyAlignment="1">
      <alignment horizontal="center"/>
    </xf>
    <xf numFmtId="0" fontId="0" fillId="2" borderId="1" xfId="0" applyFill="1" applyBorder="1" applyAlignment="1">
      <alignment vertical="center" wrapText="1"/>
    </xf>
    <xf numFmtId="170" fontId="0" fillId="2" borderId="1" xfId="3" applyNumberFormat="1" applyFont="1" applyFill="1" applyBorder="1"/>
    <xf numFmtId="9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70" fontId="0" fillId="0" borderId="3" xfId="3" applyNumberFormat="1" applyFont="1" applyFill="1" applyBorder="1"/>
    <xf numFmtId="170" fontId="0" fillId="2" borderId="4" xfId="3" applyNumberFormat="1" applyFont="1" applyFill="1" applyBorder="1"/>
    <xf numFmtId="170" fontId="0" fillId="0" borderId="0" xfId="3" applyNumberFormat="1" applyFont="1" applyBorder="1"/>
    <xf numFmtId="0" fontId="0" fillId="0" borderId="2" xfId="0" applyBorder="1" applyAlignment="1"/>
    <xf numFmtId="0" fontId="0" fillId="0" borderId="0" xfId="0" applyBorder="1" applyAlignment="1"/>
    <xf numFmtId="10" fontId="6" fillId="2" borderId="0" xfId="1" applyNumberFormat="1" applyFont="1" applyFill="1"/>
    <xf numFmtId="165" fontId="6" fillId="2" borderId="0" xfId="0" applyNumberFormat="1" applyFont="1" applyFill="1"/>
    <xf numFmtId="166" fontId="6" fillId="2" borderId="0" xfId="0" applyNumberFormat="1" applyFont="1" applyFill="1"/>
    <xf numFmtId="166" fontId="6" fillId="2" borderId="0" xfId="1" applyNumberFormat="1" applyFont="1" applyFill="1"/>
    <xf numFmtId="0" fontId="0" fillId="2" borderId="1" xfId="1" applyNumberFormat="1" applyFont="1" applyFill="1" applyBorder="1"/>
    <xf numFmtId="170" fontId="0" fillId="2" borderId="1" xfId="0" applyNumberFormat="1" applyFill="1" applyBorder="1"/>
    <xf numFmtId="171" fontId="0" fillId="2" borderId="1" xfId="1" applyNumberFormat="1" applyFont="1" applyFill="1" applyBorder="1"/>
    <xf numFmtId="0" fontId="0" fillId="2" borderId="1" xfId="0" applyNumberFormat="1" applyFill="1" applyBorder="1"/>
    <xf numFmtId="170" fontId="0" fillId="2" borderId="0" xfId="3" applyNumberFormat="1" applyFont="1" applyFill="1"/>
    <xf numFmtId="0" fontId="0" fillId="2" borderId="0" xfId="0" applyFill="1" applyAlignment="1">
      <alignment horizontal="center" wrapText="1"/>
    </xf>
    <xf numFmtId="0" fontId="0" fillId="2" borderId="0" xfId="1" applyNumberFormat="1" applyFont="1" applyFill="1"/>
    <xf numFmtId="168" fontId="0" fillId="0" borderId="0" xfId="5" applyNumberFormat="1" applyFont="1" applyFill="1"/>
    <xf numFmtId="172" fontId="0" fillId="2" borderId="1" xfId="1" applyNumberFormat="1" applyFont="1" applyFill="1" applyBorder="1"/>
    <xf numFmtId="0" fontId="0" fillId="3" borderId="1" xfId="1" applyNumberFormat="1" applyFont="1" applyFill="1" applyBorder="1"/>
    <xf numFmtId="0" fontId="0" fillId="4" borderId="0" xfId="0" applyFill="1"/>
    <xf numFmtId="170" fontId="0" fillId="4" borderId="0" xfId="3" applyNumberFormat="1" applyFont="1" applyFill="1" applyBorder="1"/>
    <xf numFmtId="170" fontId="0" fillId="4" borderId="3" xfId="3" applyNumberFormat="1" applyFont="1" applyFill="1" applyBorder="1"/>
    <xf numFmtId="0" fontId="0" fillId="5" borderId="0" xfId="0" applyFill="1"/>
    <xf numFmtId="0" fontId="0" fillId="6" borderId="0" xfId="0" applyFill="1"/>
    <xf numFmtId="9" fontId="2" fillId="0" borderId="1" xfId="1" applyFont="1" applyBorder="1" applyAlignment="1">
      <alignment horizontal="center"/>
    </xf>
    <xf numFmtId="9" fontId="0" fillId="0" borderId="0" xfId="1" applyFont="1" applyAlignment="1">
      <alignment horizontal="center"/>
    </xf>
    <xf numFmtId="0" fontId="0" fillId="3" borderId="0" xfId="0" applyFill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 vertical="top" wrapText="1"/>
    </xf>
  </cellXfs>
  <cellStyles count="9">
    <cellStyle name="Comma" xfId="3" builtinId="3"/>
    <cellStyle name="Comma 2" xfId="2"/>
    <cellStyle name="Comma 3" xfId="4"/>
    <cellStyle name="Comma 4" xfId="5"/>
    <cellStyle name="Comma 5" xfId="6"/>
    <cellStyle name="Comma 6" xfId="7"/>
    <cellStyle name="Comma 7" xf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Ruin probability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With 1.5cr investment</c:v>
          </c:tx>
          <c:xVal>
            <c:numRef>
              <c:f>'Q2 (ii) (b)'!$C$11:$C$25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'Q2 (ii) (b)'!$L$11:$L$25</c:f>
              <c:numCache>
                <c:formatCode>0.00%</c:formatCode>
                <c:ptCount val="15"/>
                <c:pt idx="0">
                  <c:v>5.9598970938429092E-2</c:v>
                </c:pt>
                <c:pt idx="1">
                  <c:v>0.12304305376994867</c:v>
                </c:pt>
                <c:pt idx="2">
                  <c:v>0.16053932939679247</c:v>
                </c:pt>
                <c:pt idx="3">
                  <c:v>0.18504917993055914</c:v>
                </c:pt>
                <c:pt idx="4">
                  <c:v>0.20252016159820299</c:v>
                </c:pt>
                <c:pt idx="5">
                  <c:v>0.21583983065158011</c:v>
                </c:pt>
                <c:pt idx="6">
                  <c:v>0.22657367034485665</c:v>
                </c:pt>
                <c:pt idx="7">
                  <c:v>0.2356504419272174</c:v>
                </c:pt>
                <c:pt idx="8">
                  <c:v>0.24366271951211704</c:v>
                </c:pt>
                <c:pt idx="9">
                  <c:v>0.25101248790991548</c:v>
                </c:pt>
                <c:pt idx="10">
                  <c:v>0.25798768744470391</c:v>
                </c:pt>
                <c:pt idx="11">
                  <c:v>0.26480524107108372</c:v>
                </c:pt>
                <c:pt idx="12">
                  <c:v>0.27163663250131115</c:v>
                </c:pt>
                <c:pt idx="13">
                  <c:v>0.2786238598847296</c:v>
                </c:pt>
                <c:pt idx="14">
                  <c:v>0.2858898168147499</c:v>
                </c:pt>
              </c:numCache>
            </c:numRef>
          </c:yVal>
          <c:smooth val="0"/>
        </c:ser>
        <c:ser>
          <c:idx val="1"/>
          <c:order val="1"/>
          <c:tx>
            <c:v>With 1cr investment</c:v>
          </c:tx>
          <c:xVal>
            <c:numRef>
              <c:f>'Q2 (ii) (a)'!$C$11:$C$25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'Q2 (ii) (a)'!$L$11:$L$25</c:f>
              <c:numCache>
                <c:formatCode>0.00%</c:formatCode>
                <c:ptCount val="15"/>
                <c:pt idx="0">
                  <c:v>0.11444607632980291</c:v>
                </c:pt>
                <c:pt idx="1">
                  <c:v>0.18704023311770843</c:v>
                </c:pt>
                <c:pt idx="2">
                  <c:v>0.2256572689057382</c:v>
                </c:pt>
                <c:pt idx="3">
                  <c:v>0.25055844197061772</c:v>
                </c:pt>
                <c:pt idx="4">
                  <c:v>0.2687154491285324</c:v>
                </c:pt>
                <c:pt idx="5">
                  <c:v>0.28318193972596767</c:v>
                </c:pt>
                <c:pt idx="6">
                  <c:v>0.29553132342486377</c:v>
                </c:pt>
                <c:pt idx="7">
                  <c:v>0.30667371415652361</c:v>
                </c:pt>
                <c:pt idx="8">
                  <c:v>0.31718518243757265</c:v>
                </c:pt>
                <c:pt idx="9">
                  <c:v>0.32745905478024229</c:v>
                </c:pt>
                <c:pt idx="10">
                  <c:v>0.33778256574245558</c:v>
                </c:pt>
                <c:pt idx="11">
                  <c:v>0.34837872285774052</c:v>
                </c:pt>
                <c:pt idx="12">
                  <c:v>0.35943055223314291</c:v>
                </c:pt>
                <c:pt idx="13">
                  <c:v>0.37109577433410956</c:v>
                </c:pt>
                <c:pt idx="14">
                  <c:v>0.38351593925228888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57920"/>
        <c:axId val="-209864992"/>
      </c:scatterChart>
      <c:valAx>
        <c:axId val="-20985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9864992"/>
        <c:crosses val="autoZero"/>
        <c:crossBetween val="midCat"/>
      </c:valAx>
      <c:valAx>
        <c:axId val="-2098649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20985792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517072</xdr:colOff>
      <xdr:row>1</xdr:row>
      <xdr:rowOff>149678</xdr:rowOff>
    </xdr:from>
    <xdr:to>
      <xdr:col>15</xdr:col>
      <xdr:colOff>149679</xdr:colOff>
      <xdr:row>15</xdr:row>
      <xdr:rowOff>40821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2"/>
  <sheetViews>
    <sheetView tabSelected="1" workbookViewId="0">
      <selection activeCell="J14" sqref="J14"/>
    </sheetView>
  </sheetViews>
  <sheetFormatPr defaultRowHeight="15" x14ac:dyDescent="0.25"/>
  <cols>
    <col min="1" max="1" width="14.5703125" customWidth="1"/>
    <col min="2" max="2" width="13.85546875" bestFit="1" customWidth="1"/>
    <col min="3" max="3" width="10.140625" customWidth="1"/>
    <col min="4" max="4" width="11" customWidth="1"/>
  </cols>
  <sheetData>
    <row r="1" spans="2:18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2:18" x14ac:dyDescent="0.25">
      <c r="R2" s="2"/>
    </row>
    <row r="3" spans="2:18" x14ac:dyDescent="0.25">
      <c r="B3" s="16"/>
      <c r="C3" s="88" t="s">
        <v>0</v>
      </c>
      <c r="D3" s="88"/>
      <c r="E3" s="8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1"/>
    </row>
    <row r="4" spans="2:18" x14ac:dyDescent="0.25">
      <c r="B4" s="16"/>
      <c r="C4" s="14">
        <v>1</v>
      </c>
      <c r="D4" s="14">
        <v>2</v>
      </c>
      <c r="E4" s="14">
        <v>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1"/>
    </row>
    <row r="5" spans="2:18" ht="24" x14ac:dyDescent="0.45">
      <c r="B5" s="17" t="s">
        <v>21</v>
      </c>
      <c r="C5" s="15">
        <v>0</v>
      </c>
      <c r="D5" s="15">
        <v>2.6</v>
      </c>
      <c r="E5" s="15">
        <v>-1.8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1"/>
    </row>
    <row r="6" spans="2:18" ht="24" x14ac:dyDescent="0.45">
      <c r="B6" s="17" t="s">
        <v>22</v>
      </c>
      <c r="C6" s="15">
        <v>1.5</v>
      </c>
      <c r="D6" s="15">
        <v>0.7</v>
      </c>
      <c r="E6" s="15">
        <v>2.2000000000000002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1"/>
    </row>
    <row r="7" spans="2:18" ht="24" x14ac:dyDescent="0.45">
      <c r="B7" s="17" t="s">
        <v>23</v>
      </c>
      <c r="C7" s="15">
        <v>2.1</v>
      </c>
      <c r="D7" s="15">
        <v>1.5</v>
      </c>
      <c r="E7" s="15">
        <v>1.8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1"/>
    </row>
    <row r="8" spans="2:18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1"/>
    </row>
    <row r="9" spans="2:18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1"/>
    </row>
    <row r="10" spans="2:18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  <c r="R10" s="1"/>
    </row>
    <row r="11" spans="2:18" x14ac:dyDescent="0.25">
      <c r="B11" s="1" t="s">
        <v>35</v>
      </c>
      <c r="C11" s="1" t="s">
        <v>36</v>
      </c>
      <c r="D11" s="1" t="s">
        <v>37</v>
      </c>
      <c r="E11" s="1" t="s">
        <v>40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  <c r="R11" s="1"/>
    </row>
    <row r="12" spans="2:18" x14ac:dyDescent="0.25">
      <c r="B12" s="4">
        <v>1</v>
      </c>
      <c r="C12" s="21">
        <v>-7.0000000000000007E-2</v>
      </c>
      <c r="D12" s="1">
        <v>-0.05</v>
      </c>
      <c r="E12" s="1">
        <v>-0.02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  <c r="R12" s="1"/>
    </row>
    <row r="13" spans="2:18" x14ac:dyDescent="0.25">
      <c r="B13" s="4">
        <v>2</v>
      </c>
      <c r="C13" s="21">
        <v>0.23</v>
      </c>
      <c r="D13" s="1">
        <v>-0.06</v>
      </c>
      <c r="E13" s="1">
        <v>-0.03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"/>
      <c r="R13" s="1"/>
    </row>
    <row r="14" spans="2:18" x14ac:dyDescent="0.25">
      <c r="B14" s="4">
        <v>3</v>
      </c>
      <c r="C14" s="21">
        <v>-0.06</v>
      </c>
      <c r="D14" s="1">
        <v>0.09</v>
      </c>
      <c r="E14" s="1">
        <v>0.14000000000000001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1"/>
    </row>
    <row r="15" spans="2:18" x14ac:dyDescent="0.25">
      <c r="B15" s="4">
        <v>4</v>
      </c>
      <c r="C15" s="21">
        <v>0.14000000000000001</v>
      </c>
      <c r="D15" s="1">
        <v>0.11</v>
      </c>
      <c r="E15" s="1">
        <v>0.06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1"/>
    </row>
    <row r="16" spans="2:18" x14ac:dyDescent="0.25">
      <c r="B16" s="4">
        <v>5</v>
      </c>
      <c r="C16" s="21">
        <v>0.25</v>
      </c>
      <c r="D16" s="1">
        <v>0.19</v>
      </c>
      <c r="E16" s="1">
        <v>0.13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1"/>
    </row>
    <row r="17" spans="2:18" x14ac:dyDescent="0.25">
      <c r="B17" s="4">
        <v>6</v>
      </c>
      <c r="C17" s="21">
        <v>-0.14000000000000001</v>
      </c>
      <c r="D17" s="1">
        <v>0.19</v>
      </c>
      <c r="E17" s="1">
        <v>0.1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1"/>
    </row>
    <row r="18" spans="2:18" x14ac:dyDescent="0.25">
      <c r="B18" s="4">
        <v>7</v>
      </c>
      <c r="C18" s="21">
        <v>0.13</v>
      </c>
      <c r="D18" s="1">
        <v>-0.01</v>
      </c>
      <c r="E18" s="1">
        <v>-0.02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1"/>
    </row>
    <row r="19" spans="2:18" x14ac:dyDescent="0.25">
      <c r="B19" s="4">
        <v>8</v>
      </c>
      <c r="C19" s="21">
        <v>0.19</v>
      </c>
      <c r="D19" s="1">
        <v>-0.06</v>
      </c>
      <c r="E19" s="1">
        <v>-0.03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1"/>
    </row>
    <row r="20" spans="2:18" x14ac:dyDescent="0.25">
      <c r="B20" s="4">
        <v>9</v>
      </c>
      <c r="C20" s="21">
        <v>0.15</v>
      </c>
      <c r="D20" s="1">
        <v>7.0000000000000007E-2</v>
      </c>
      <c r="E20" s="1">
        <v>0.12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1"/>
    </row>
    <row r="21" spans="2:18" x14ac:dyDescent="0.25">
      <c r="B21" s="4">
        <v>10</v>
      </c>
      <c r="C21" s="21">
        <v>-0.15</v>
      </c>
      <c r="D21" s="1">
        <v>0.2</v>
      </c>
      <c r="E21" s="1">
        <v>0.12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1"/>
    </row>
    <row r="22" spans="2:18" x14ac:dyDescent="0.25">
      <c r="B22" s="4">
        <v>11</v>
      </c>
      <c r="C22" s="21">
        <v>0.14000000000000001</v>
      </c>
      <c r="D22" s="1">
        <v>0.14000000000000001</v>
      </c>
      <c r="E22" s="1">
        <v>0.13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1"/>
    </row>
    <row r="23" spans="2:18" x14ac:dyDescent="0.25">
      <c r="B23" s="4">
        <v>12</v>
      </c>
      <c r="C23" s="21">
        <v>-0.06</v>
      </c>
      <c r="D23" s="1">
        <v>0.18</v>
      </c>
      <c r="E23" s="1">
        <v>0.09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1"/>
    </row>
    <row r="24" spans="2:18" x14ac:dyDescent="0.25">
      <c r="B24" s="4">
        <v>13</v>
      </c>
      <c r="C24" s="21">
        <v>0.18</v>
      </c>
      <c r="D24" s="1">
        <v>0.11</v>
      </c>
      <c r="E24" s="1">
        <v>0.05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1"/>
    </row>
    <row r="25" spans="2:18" x14ac:dyDescent="0.25">
      <c r="B25" s="4">
        <v>14</v>
      </c>
      <c r="C25" s="21">
        <v>0.01</v>
      </c>
      <c r="D25" s="1">
        <v>0.17</v>
      </c>
      <c r="E25" s="1">
        <v>0.04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1"/>
    </row>
    <row r="26" spans="2:18" x14ac:dyDescent="0.25">
      <c r="B26" s="4">
        <v>15</v>
      </c>
      <c r="C26" s="21">
        <v>-0.09</v>
      </c>
      <c r="D26" s="1">
        <v>0.14000000000000001</v>
      </c>
      <c r="E26" s="1">
        <v>0.13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1"/>
    </row>
    <row r="27" spans="2:18" x14ac:dyDescent="0.25">
      <c r="B27" s="4">
        <v>16</v>
      </c>
      <c r="C27" s="21">
        <v>-0.12</v>
      </c>
      <c r="D27" s="1">
        <v>0.1</v>
      </c>
      <c r="E27" s="1">
        <v>0.11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1"/>
    </row>
    <row r="28" spans="2:18" x14ac:dyDescent="0.25">
      <c r="B28" s="4">
        <v>17</v>
      </c>
      <c r="C28" s="21">
        <v>0.14000000000000001</v>
      </c>
      <c r="D28" s="1">
        <v>0</v>
      </c>
      <c r="E28" s="1">
        <v>-0.04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1"/>
    </row>
    <row r="29" spans="2:18" x14ac:dyDescent="0.25">
      <c r="B29" s="4">
        <v>18</v>
      </c>
      <c r="C29" s="21">
        <v>0.06</v>
      </c>
      <c r="D29" s="1">
        <v>0.08</v>
      </c>
      <c r="E29" s="1">
        <v>0.1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1"/>
    </row>
    <row r="30" spans="2:18" x14ac:dyDescent="0.25">
      <c r="B30" s="4">
        <v>19</v>
      </c>
      <c r="C30" s="21">
        <v>-0.09</v>
      </c>
      <c r="D30" s="1">
        <v>-0.05</v>
      </c>
      <c r="E30" s="1">
        <v>-0.03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1"/>
    </row>
    <row r="31" spans="2:18" x14ac:dyDescent="0.25">
      <c r="B31" s="4">
        <v>20</v>
      </c>
      <c r="C31" s="21">
        <v>0.25</v>
      </c>
      <c r="D31" s="1">
        <v>0.08</v>
      </c>
      <c r="E31" s="1">
        <v>0.03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1"/>
    </row>
    <row r="32" spans="2:18" x14ac:dyDescent="0.25">
      <c r="B32" s="4">
        <v>21</v>
      </c>
      <c r="C32" s="21">
        <v>-0.09</v>
      </c>
      <c r="D32" s="1">
        <v>0.14000000000000001</v>
      </c>
      <c r="E32" s="1">
        <v>0.04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1"/>
    </row>
    <row r="33" spans="2:18" x14ac:dyDescent="0.25">
      <c r="B33" s="4">
        <v>22</v>
      </c>
      <c r="C33" s="21">
        <v>0.14000000000000001</v>
      </c>
      <c r="D33" s="1">
        <v>0</v>
      </c>
      <c r="E33" s="1">
        <v>-0.06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1"/>
    </row>
    <row r="34" spans="2:18" x14ac:dyDescent="0.25">
      <c r="B34" s="4">
        <v>23</v>
      </c>
      <c r="C34" s="21">
        <v>-0.18</v>
      </c>
      <c r="D34" s="1">
        <v>0.01</v>
      </c>
      <c r="E34" s="1">
        <v>0.04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1"/>
    </row>
    <row r="35" spans="2:18" x14ac:dyDescent="0.25">
      <c r="B35" s="4">
        <v>24</v>
      </c>
      <c r="C35" s="21">
        <v>0.11</v>
      </c>
      <c r="D35" s="1">
        <v>0.08</v>
      </c>
      <c r="E35" s="1">
        <v>0.03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1"/>
    </row>
    <row r="36" spans="2:18" x14ac:dyDescent="0.25">
      <c r="B36" s="4">
        <v>25</v>
      </c>
      <c r="C36" s="21">
        <v>-0.15</v>
      </c>
      <c r="D36" s="1">
        <v>0.09</v>
      </c>
      <c r="E36" s="1">
        <v>0.12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1"/>
    </row>
    <row r="37" spans="2:18" x14ac:dyDescent="0.25">
      <c r="B37" s="4">
        <v>26</v>
      </c>
      <c r="C37" s="21">
        <v>-0.06</v>
      </c>
      <c r="D37" s="1">
        <v>-0.06</v>
      </c>
      <c r="E37" s="1">
        <v>0.01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1"/>
    </row>
    <row r="38" spans="2:18" x14ac:dyDescent="0.25">
      <c r="B38" s="4">
        <v>27</v>
      </c>
      <c r="C38" s="21">
        <v>0.27</v>
      </c>
      <c r="D38" s="1">
        <v>0.04</v>
      </c>
      <c r="E38" s="1">
        <v>0.11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1"/>
    </row>
    <row r="39" spans="2:18" x14ac:dyDescent="0.25">
      <c r="B39" s="4">
        <v>28</v>
      </c>
      <c r="C39" s="21">
        <v>-7.0000000000000007E-2</v>
      </c>
      <c r="D39" s="1">
        <v>0.1</v>
      </c>
      <c r="E39" s="1">
        <v>0.04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1"/>
    </row>
    <row r="40" spans="2:18" x14ac:dyDescent="0.25">
      <c r="B40" s="4">
        <v>29</v>
      </c>
      <c r="C40" s="21">
        <v>0.03</v>
      </c>
      <c r="D40" s="1">
        <v>-0.08</v>
      </c>
      <c r="E40" s="1">
        <v>-0.02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1"/>
    </row>
    <row r="41" spans="2:18" x14ac:dyDescent="0.25">
      <c r="B41" s="4">
        <v>30</v>
      </c>
      <c r="C41" s="21">
        <v>-0.09</v>
      </c>
      <c r="D41" s="1">
        <v>-0.1</v>
      </c>
      <c r="E41" s="1">
        <v>-0.05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1"/>
    </row>
    <row r="42" spans="2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1"/>
    </row>
    <row r="43" spans="2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1"/>
    </row>
    <row r="44" spans="2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1"/>
    </row>
    <row r="45" spans="2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1"/>
    </row>
    <row r="47" spans="2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  <c r="R51" s="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1"/>
    </row>
    <row r="53" spans="2:1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  <c r="R53" s="1"/>
    </row>
    <row r="54" spans="2:1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  <c r="R54" s="1"/>
    </row>
    <row r="55" spans="2:1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  <c r="R55" s="1"/>
    </row>
    <row r="56" spans="2:1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  <c r="R56" s="1"/>
    </row>
    <row r="57" spans="2: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"/>
      <c r="R57" s="1"/>
    </row>
    <row r="58" spans="2: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  <c r="R58" s="1"/>
    </row>
    <row r="59" spans="2: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  <c r="R59" s="1"/>
    </row>
    <row r="60" spans="2:1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"/>
      <c r="R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"/>
      <c r="R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"/>
      <c r="R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2"/>
      <c r="R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2"/>
      <c r="R64" s="1"/>
    </row>
    <row r="65" spans="2:1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2"/>
      <c r="R65" s="1"/>
    </row>
    <row r="66" spans="2:1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2"/>
      <c r="R66" s="1"/>
    </row>
    <row r="67" spans="2:1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2"/>
      <c r="R67" s="1"/>
    </row>
    <row r="68" spans="2:1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"/>
      <c r="R68" s="1"/>
    </row>
    <row r="69" spans="2:1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2"/>
      <c r="R69" s="1"/>
    </row>
    <row r="70" spans="2:1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"/>
      <c r="R70" s="1"/>
    </row>
    <row r="71" spans="2: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"/>
      <c r="R71" s="1"/>
    </row>
    <row r="72" spans="2:1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"/>
      <c r="R72" s="1"/>
    </row>
    <row r="73" spans="2:1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"/>
      <c r="R73" s="1"/>
    </row>
    <row r="74" spans="2:1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2"/>
      <c r="R74" s="1"/>
    </row>
    <row r="75" spans="2:1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2"/>
      <c r="R75" s="1"/>
    </row>
    <row r="76" spans="2:18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2"/>
      <c r="R76" s="1"/>
    </row>
    <row r="77" spans="2:18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"/>
      <c r="R77" s="1"/>
    </row>
    <row r="78" spans="2:18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"/>
      <c r="R78" s="1"/>
    </row>
    <row r="79" spans="2:18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2"/>
      <c r="R79" s="1"/>
    </row>
    <row r="80" spans="2:18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2"/>
      <c r="R80" s="1"/>
    </row>
    <row r="81" spans="2:18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"/>
      <c r="R81" s="1"/>
    </row>
    <row r="82" spans="2:18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"/>
      <c r="R82" s="1"/>
    </row>
    <row r="83" spans="2:18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"/>
      <c r="R83" s="1"/>
    </row>
    <row r="84" spans="2:18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2"/>
      <c r="R84" s="1"/>
    </row>
    <row r="85" spans="2:18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2"/>
      <c r="R85" s="1"/>
    </row>
    <row r="86" spans="2:18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2"/>
      <c r="R86" s="1"/>
    </row>
    <row r="87" spans="2:18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2"/>
      <c r="R87" s="1"/>
    </row>
    <row r="88" spans="2:18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  <c r="R88" s="1"/>
    </row>
    <row r="89" spans="2:18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  <c r="R89" s="1"/>
    </row>
    <row r="90" spans="2:18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2"/>
      <c r="R90" s="1"/>
    </row>
    <row r="91" spans="2:18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2"/>
      <c r="R91" s="1"/>
    </row>
    <row r="92" spans="2:18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"/>
      <c r="R92" s="1"/>
    </row>
    <row r="93" spans="2:18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"/>
      <c r="R93" s="1"/>
    </row>
    <row r="94" spans="2:18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"/>
      <c r="R94" s="1"/>
    </row>
    <row r="95" spans="2:18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2"/>
      <c r="R95" s="1"/>
    </row>
    <row r="96" spans="2:18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2"/>
      <c r="R96" s="1"/>
    </row>
    <row r="97" spans="2:18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2"/>
      <c r="R97" s="1"/>
    </row>
    <row r="98" spans="2:18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2"/>
      <c r="R98" s="1"/>
    </row>
    <row r="99" spans="2:18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2"/>
      <c r="R99" s="1"/>
    </row>
    <row r="100" spans="2:18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2"/>
      <c r="R100" s="1"/>
    </row>
    <row r="101" spans="2:18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2"/>
      <c r="R101" s="1"/>
    </row>
    <row r="102" spans="2:18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2"/>
      <c r="R102" s="1"/>
    </row>
  </sheetData>
  <mergeCells count="1">
    <mergeCell ref="C3:E3"/>
  </mergeCell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9"/>
  <sheetViews>
    <sheetView zoomScale="70" zoomScaleNormal="70" workbookViewId="0">
      <selection activeCell="L19" sqref="L19"/>
    </sheetView>
  </sheetViews>
  <sheetFormatPr defaultRowHeight="15" x14ac:dyDescent="0.25"/>
  <cols>
    <col min="1" max="2" width="9.140625" style="9"/>
    <col min="3" max="3" width="19.7109375" style="9" bestFit="1" customWidth="1"/>
    <col min="4" max="4" width="13.28515625" style="9" bestFit="1" customWidth="1"/>
    <col min="5" max="5" width="20" style="9" customWidth="1"/>
    <col min="6" max="6" width="9.28515625" style="9" customWidth="1"/>
    <col min="7" max="7" width="16.7109375" style="9" bestFit="1" customWidth="1"/>
    <col min="8" max="11" width="20.7109375" style="9" customWidth="1"/>
    <col min="12" max="12" width="16" style="9" customWidth="1"/>
    <col min="13" max="16384" width="9.140625" style="9"/>
  </cols>
  <sheetData>
    <row r="1" spans="3:12" x14ac:dyDescent="0.25">
      <c r="C1" s="9" t="s">
        <v>63</v>
      </c>
      <c r="D1" s="77">
        <f>'Q2 (i)'!D2</f>
        <v>10000000</v>
      </c>
      <c r="E1" s="28"/>
      <c r="H1" s="9" t="s">
        <v>64</v>
      </c>
      <c r="I1" s="79">
        <v>0.75</v>
      </c>
    </row>
    <row r="2" spans="3:12" x14ac:dyDescent="0.25">
      <c r="C2" s="9" t="s">
        <v>65</v>
      </c>
      <c r="D2" s="8">
        <v>0.03</v>
      </c>
      <c r="E2" s="28"/>
      <c r="H2" s="9" t="s">
        <v>66</v>
      </c>
      <c r="I2" s="32"/>
    </row>
    <row r="3" spans="3:12" x14ac:dyDescent="0.25">
      <c r="C3" s="9" t="s">
        <v>67</v>
      </c>
      <c r="D3" s="8" t="s">
        <v>157</v>
      </c>
      <c r="E3" s="43"/>
    </row>
    <row r="4" spans="3:12" x14ac:dyDescent="0.25">
      <c r="D4" s="28"/>
      <c r="E4" s="28"/>
    </row>
    <row r="5" spans="3:12" x14ac:dyDescent="0.25">
      <c r="D5" s="28"/>
      <c r="E5" s="28"/>
    </row>
    <row r="6" spans="3:12" x14ac:dyDescent="0.25">
      <c r="C6" s="9" t="s">
        <v>68</v>
      </c>
      <c r="D6" s="44">
        <v>5000000</v>
      </c>
      <c r="E6" s="28"/>
    </row>
    <row r="7" spans="3:12" x14ac:dyDescent="0.25">
      <c r="C7" s="9" t="s">
        <v>166</v>
      </c>
      <c r="D7" s="80">
        <v>1000000</v>
      </c>
    </row>
    <row r="8" spans="3:12" x14ac:dyDescent="0.25">
      <c r="G8" s="91" t="s">
        <v>77</v>
      </c>
      <c r="H8" s="91"/>
      <c r="I8" s="91"/>
      <c r="J8" s="91"/>
      <c r="K8" s="91"/>
    </row>
    <row r="9" spans="3:12" ht="45" x14ac:dyDescent="0.25">
      <c r="C9" s="39" t="str">
        <f>'Q2 (i)'!D4</f>
        <v>Calendar Year ending</v>
      </c>
      <c r="D9" s="39" t="s">
        <v>69</v>
      </c>
      <c r="E9" s="39" t="s">
        <v>70</v>
      </c>
      <c r="F9" s="39" t="s">
        <v>71</v>
      </c>
      <c r="G9" s="51" t="s">
        <v>165</v>
      </c>
      <c r="H9" s="51" t="s">
        <v>158</v>
      </c>
      <c r="I9" s="51" t="s">
        <v>167</v>
      </c>
      <c r="J9" s="51" t="s">
        <v>168</v>
      </c>
      <c r="K9" s="51" t="s">
        <v>169</v>
      </c>
      <c r="L9" s="39" t="s">
        <v>72</v>
      </c>
    </row>
    <row r="10" spans="3:12" x14ac:dyDescent="0.25">
      <c r="C10" s="37">
        <v>2020</v>
      </c>
      <c r="D10" s="45">
        <v>0</v>
      </c>
      <c r="E10" s="46">
        <f>$D$1*0.3</f>
        <v>3000000</v>
      </c>
      <c r="F10" s="45">
        <f>$I$1*D10</f>
        <v>0</v>
      </c>
      <c r="G10" s="45"/>
      <c r="H10" s="45"/>
      <c r="I10" s="45"/>
      <c r="J10" s="45"/>
      <c r="K10" s="45"/>
      <c r="L10" s="45"/>
    </row>
    <row r="11" spans="3:12" x14ac:dyDescent="0.25">
      <c r="C11" s="37">
        <f>2021</f>
        <v>2021</v>
      </c>
      <c r="D11" s="45">
        <v>1</v>
      </c>
      <c r="E11" s="46">
        <f>E10*(1+$D$2)</f>
        <v>3090000</v>
      </c>
      <c r="F11" s="45">
        <f t="shared" ref="F11:F25" si="0">$I$1*D11</f>
        <v>0.75</v>
      </c>
      <c r="G11" s="47">
        <f>$D$7*D11</f>
        <v>1000000</v>
      </c>
      <c r="H11" s="47">
        <f>$D$6</f>
        <v>5000000</v>
      </c>
      <c r="I11" s="47">
        <f>E11+G11+0.7*$D$1</f>
        <v>11090000</v>
      </c>
      <c r="J11" s="48">
        <f>(I11-H11)/800000</f>
        <v>7.6124999999999998</v>
      </c>
      <c r="K11" s="76">
        <f>TRUNC(J11)</f>
        <v>7</v>
      </c>
      <c r="L11" s="81">
        <f>1-POISSON(K11,F11,TRUE)</f>
        <v>1.2784691461042996E-6</v>
      </c>
    </row>
    <row r="12" spans="3:12" x14ac:dyDescent="0.25">
      <c r="C12" s="37">
        <f>C11+1</f>
        <v>2022</v>
      </c>
      <c r="D12" s="45">
        <v>2</v>
      </c>
      <c r="E12" s="46">
        <f t="shared" ref="E12:E25" si="1">E11*(1+$D$2)</f>
        <v>3182700</v>
      </c>
      <c r="F12" s="45">
        <f t="shared" si="0"/>
        <v>1.5</v>
      </c>
      <c r="G12" s="47">
        <f t="shared" ref="G12:G25" si="2">$D$7*D12</f>
        <v>2000000</v>
      </c>
      <c r="H12" s="50">
        <f>H11*1.08</f>
        <v>5400000</v>
      </c>
      <c r="I12" s="47">
        <f t="shared" ref="I12:I25" si="3">E12+G12+0.7*$D$1</f>
        <v>12182700</v>
      </c>
      <c r="J12" s="48">
        <f t="shared" ref="J12:J25" si="4">(I12-H12)/800000</f>
        <v>8.4783749999999998</v>
      </c>
      <c r="K12" s="76">
        <f t="shared" ref="K12:K25" si="5">TRUNC(J12)</f>
        <v>8</v>
      </c>
      <c r="L12" s="81">
        <f t="shared" ref="L12:L25" si="6">1-POISSON(K12,F12,TRUE)</f>
        <v>2.7735819246865745E-5</v>
      </c>
    </row>
    <row r="13" spans="3:12" x14ac:dyDescent="0.25">
      <c r="C13" s="37">
        <f t="shared" ref="C13:C25" si="7">C12+1</f>
        <v>2023</v>
      </c>
      <c r="D13" s="45">
        <v>3</v>
      </c>
      <c r="E13" s="46">
        <f t="shared" si="1"/>
        <v>3278181</v>
      </c>
      <c r="F13" s="45">
        <f t="shared" si="0"/>
        <v>2.25</v>
      </c>
      <c r="G13" s="47">
        <f t="shared" si="2"/>
        <v>3000000</v>
      </c>
      <c r="H13" s="50">
        <f t="shared" ref="H13:H25" si="8">H12*1.08</f>
        <v>5832000</v>
      </c>
      <c r="I13" s="47">
        <f t="shared" si="3"/>
        <v>13278181</v>
      </c>
      <c r="J13" s="48">
        <f t="shared" si="4"/>
        <v>9.30772625</v>
      </c>
      <c r="K13" s="76">
        <f t="shared" si="5"/>
        <v>9</v>
      </c>
      <c r="L13" s="81">
        <f t="shared" si="6"/>
        <v>1.2080457756680207E-4</v>
      </c>
    </row>
    <row r="14" spans="3:12" x14ac:dyDescent="0.25">
      <c r="C14" s="37">
        <f t="shared" si="7"/>
        <v>2024</v>
      </c>
      <c r="D14" s="45">
        <v>4</v>
      </c>
      <c r="E14" s="46">
        <f t="shared" si="1"/>
        <v>3376526.43</v>
      </c>
      <c r="F14" s="45">
        <f t="shared" si="0"/>
        <v>3</v>
      </c>
      <c r="G14" s="47">
        <f t="shared" si="2"/>
        <v>4000000</v>
      </c>
      <c r="H14" s="50">
        <f t="shared" si="8"/>
        <v>6298560</v>
      </c>
      <c r="I14" s="47">
        <f t="shared" si="3"/>
        <v>14376526.43</v>
      </c>
      <c r="J14" s="48">
        <f t="shared" si="4"/>
        <v>10.097458037499999</v>
      </c>
      <c r="K14" s="76">
        <f t="shared" si="5"/>
        <v>10</v>
      </c>
      <c r="L14" s="81">
        <f t="shared" si="6"/>
        <v>2.9233695064734277E-4</v>
      </c>
    </row>
    <row r="15" spans="3:12" x14ac:dyDescent="0.25">
      <c r="C15" s="37">
        <f t="shared" si="7"/>
        <v>2025</v>
      </c>
      <c r="D15" s="45">
        <v>5</v>
      </c>
      <c r="E15" s="46">
        <f t="shared" si="1"/>
        <v>3477822.2229000004</v>
      </c>
      <c r="F15" s="45">
        <f t="shared" si="0"/>
        <v>3.75</v>
      </c>
      <c r="G15" s="47">
        <f t="shared" si="2"/>
        <v>5000000</v>
      </c>
      <c r="H15" s="50">
        <f t="shared" si="8"/>
        <v>6802444.8000000007</v>
      </c>
      <c r="I15" s="47">
        <f t="shared" si="3"/>
        <v>15477822.222899999</v>
      </c>
      <c r="J15" s="48">
        <f t="shared" si="4"/>
        <v>10.844221778624998</v>
      </c>
      <c r="K15" s="76">
        <f t="shared" si="5"/>
        <v>10</v>
      </c>
      <c r="L15" s="81">
        <f t="shared" si="6"/>
        <v>1.7431111062065074E-3</v>
      </c>
    </row>
    <row r="16" spans="3:12" x14ac:dyDescent="0.25">
      <c r="C16" s="37">
        <f t="shared" si="7"/>
        <v>2026</v>
      </c>
      <c r="D16" s="45">
        <v>6</v>
      </c>
      <c r="E16" s="46">
        <f t="shared" si="1"/>
        <v>3582156.8895870005</v>
      </c>
      <c r="F16" s="45">
        <f t="shared" si="0"/>
        <v>4.5</v>
      </c>
      <c r="G16" s="47">
        <f t="shared" si="2"/>
        <v>6000000</v>
      </c>
      <c r="H16" s="50">
        <f t="shared" si="8"/>
        <v>7346640.3840000015</v>
      </c>
      <c r="I16" s="47">
        <f t="shared" si="3"/>
        <v>16582156.889587</v>
      </c>
      <c r="J16" s="48">
        <f t="shared" si="4"/>
        <v>11.544395631983749</v>
      </c>
      <c r="K16" s="76">
        <f t="shared" si="5"/>
        <v>11</v>
      </c>
      <c r="L16" s="81">
        <f t="shared" si="6"/>
        <v>2.4042835731015177E-3</v>
      </c>
    </row>
    <row r="17" spans="3:12" x14ac:dyDescent="0.25">
      <c r="C17" s="37">
        <f t="shared" si="7"/>
        <v>2027</v>
      </c>
      <c r="D17" s="45">
        <v>7</v>
      </c>
      <c r="E17" s="46">
        <f t="shared" si="1"/>
        <v>3689621.5962746106</v>
      </c>
      <c r="F17" s="45">
        <f t="shared" si="0"/>
        <v>5.25</v>
      </c>
      <c r="G17" s="47">
        <f t="shared" si="2"/>
        <v>7000000</v>
      </c>
      <c r="H17" s="50">
        <f t="shared" si="8"/>
        <v>7934371.6147200018</v>
      </c>
      <c r="I17" s="47">
        <f t="shared" si="3"/>
        <v>17689621.596274611</v>
      </c>
      <c r="J17" s="48">
        <f t="shared" si="4"/>
        <v>12.194062476943261</v>
      </c>
      <c r="K17" s="76">
        <f t="shared" si="5"/>
        <v>12</v>
      </c>
      <c r="L17" s="81">
        <f t="shared" si="6"/>
        <v>3.0414048699237695E-3</v>
      </c>
    </row>
    <row r="18" spans="3:12" x14ac:dyDescent="0.25">
      <c r="C18" s="37">
        <f t="shared" si="7"/>
        <v>2028</v>
      </c>
      <c r="D18" s="45">
        <v>8</v>
      </c>
      <c r="E18" s="46">
        <f t="shared" si="1"/>
        <v>3800310.2441628492</v>
      </c>
      <c r="F18" s="45">
        <f t="shared" si="0"/>
        <v>6</v>
      </c>
      <c r="G18" s="47">
        <f t="shared" si="2"/>
        <v>8000000</v>
      </c>
      <c r="H18" s="50">
        <f t="shared" si="8"/>
        <v>8569121.3438976035</v>
      </c>
      <c r="I18" s="47">
        <f t="shared" si="3"/>
        <v>18800310.24416285</v>
      </c>
      <c r="J18" s="48">
        <f t="shared" si="4"/>
        <v>12.788986125331558</v>
      </c>
      <c r="K18" s="76">
        <f t="shared" si="5"/>
        <v>12</v>
      </c>
      <c r="L18" s="81">
        <f t="shared" si="6"/>
        <v>8.8274835178980826E-3</v>
      </c>
    </row>
    <row r="19" spans="3:12" x14ac:dyDescent="0.25">
      <c r="C19" s="37">
        <f t="shared" si="7"/>
        <v>2029</v>
      </c>
      <c r="D19" s="45">
        <v>9</v>
      </c>
      <c r="E19" s="46">
        <f t="shared" si="1"/>
        <v>3914319.5514877345</v>
      </c>
      <c r="F19" s="45">
        <f t="shared" si="0"/>
        <v>6.75</v>
      </c>
      <c r="G19" s="47">
        <f t="shared" si="2"/>
        <v>9000000</v>
      </c>
      <c r="H19" s="50">
        <f t="shared" si="8"/>
        <v>9254651.0514094122</v>
      </c>
      <c r="I19" s="47">
        <f t="shared" si="3"/>
        <v>19914319.551487736</v>
      </c>
      <c r="J19" s="48">
        <f t="shared" si="4"/>
        <v>13.324585625097905</v>
      </c>
      <c r="K19" s="76">
        <f t="shared" si="5"/>
        <v>13</v>
      </c>
      <c r="L19" s="81">
        <f t="shared" si="6"/>
        <v>9.6270757791208084E-3</v>
      </c>
    </row>
    <row r="20" spans="3:12" x14ac:dyDescent="0.25">
      <c r="C20" s="37">
        <f t="shared" si="7"/>
        <v>2030</v>
      </c>
      <c r="D20" s="45">
        <v>10</v>
      </c>
      <c r="E20" s="46">
        <f t="shared" si="1"/>
        <v>4031749.1380323665</v>
      </c>
      <c r="F20" s="45">
        <f t="shared" si="0"/>
        <v>7.5</v>
      </c>
      <c r="G20" s="47">
        <f t="shared" si="2"/>
        <v>10000000</v>
      </c>
      <c r="H20" s="50">
        <f t="shared" si="8"/>
        <v>9995023.1355221663</v>
      </c>
      <c r="I20" s="47">
        <f t="shared" si="3"/>
        <v>21031749.138032366</v>
      </c>
      <c r="J20" s="48">
        <f t="shared" si="4"/>
        <v>13.79590750313775</v>
      </c>
      <c r="K20" s="76">
        <f t="shared" si="5"/>
        <v>13</v>
      </c>
      <c r="L20" s="81">
        <f t="shared" si="6"/>
        <v>2.1564651038016747E-2</v>
      </c>
    </row>
    <row r="21" spans="3:12" x14ac:dyDescent="0.25">
      <c r="C21" s="37">
        <f t="shared" si="7"/>
        <v>2031</v>
      </c>
      <c r="D21" s="45">
        <v>11</v>
      </c>
      <c r="E21" s="46">
        <f t="shared" si="1"/>
        <v>4152701.6121733375</v>
      </c>
      <c r="F21" s="45">
        <f t="shared" si="0"/>
        <v>8.25</v>
      </c>
      <c r="G21" s="47">
        <f t="shared" si="2"/>
        <v>11000000</v>
      </c>
      <c r="H21" s="50">
        <f t="shared" si="8"/>
        <v>10794624.98636394</v>
      </c>
      <c r="I21" s="47">
        <f t="shared" si="3"/>
        <v>22152701.612173337</v>
      </c>
      <c r="J21" s="48">
        <f t="shared" si="4"/>
        <v>14.197595782261747</v>
      </c>
      <c r="K21" s="76">
        <f t="shared" si="5"/>
        <v>14</v>
      </c>
      <c r="L21" s="81">
        <f t="shared" si="6"/>
        <v>2.1899655807834928E-2</v>
      </c>
    </row>
    <row r="22" spans="3:12" x14ac:dyDescent="0.25">
      <c r="C22" s="37">
        <f t="shared" si="7"/>
        <v>2032</v>
      </c>
      <c r="D22" s="45">
        <v>12</v>
      </c>
      <c r="E22" s="46">
        <f t="shared" si="1"/>
        <v>4277282.6605385374</v>
      </c>
      <c r="F22" s="45">
        <f t="shared" si="0"/>
        <v>9</v>
      </c>
      <c r="G22" s="47">
        <f t="shared" si="2"/>
        <v>12000000</v>
      </c>
      <c r="H22" s="50">
        <f t="shared" si="8"/>
        <v>11658194.985273056</v>
      </c>
      <c r="I22" s="47">
        <f t="shared" si="3"/>
        <v>23277282.660538539</v>
      </c>
      <c r="J22" s="48">
        <f t="shared" si="4"/>
        <v>14.523859594081854</v>
      </c>
      <c r="K22" s="76">
        <f t="shared" si="5"/>
        <v>14</v>
      </c>
      <c r="L22" s="81">
        <f t="shared" si="6"/>
        <v>4.1466325472903742E-2</v>
      </c>
    </row>
    <row r="23" spans="3:12" x14ac:dyDescent="0.25">
      <c r="C23" s="37">
        <f t="shared" si="7"/>
        <v>2033</v>
      </c>
      <c r="D23" s="45">
        <v>13</v>
      </c>
      <c r="E23" s="46">
        <f t="shared" si="1"/>
        <v>4405601.1403546939</v>
      </c>
      <c r="F23" s="45">
        <f t="shared" si="0"/>
        <v>9.75</v>
      </c>
      <c r="G23" s="47">
        <f t="shared" si="2"/>
        <v>13000000</v>
      </c>
      <c r="H23" s="50">
        <f t="shared" si="8"/>
        <v>12590850.584094901</v>
      </c>
      <c r="I23" s="47">
        <f t="shared" si="3"/>
        <v>24405601.140354693</v>
      </c>
      <c r="J23" s="48">
        <f t="shared" si="4"/>
        <v>14.768438195324741</v>
      </c>
      <c r="K23" s="76">
        <f t="shared" si="5"/>
        <v>14</v>
      </c>
      <c r="L23" s="81">
        <f t="shared" si="6"/>
        <v>7.1086810394423106E-2</v>
      </c>
    </row>
    <row r="24" spans="3:12" x14ac:dyDescent="0.25">
      <c r="C24" s="37">
        <f t="shared" si="7"/>
        <v>2034</v>
      </c>
      <c r="D24" s="45">
        <v>14</v>
      </c>
      <c r="E24" s="46">
        <f t="shared" si="1"/>
        <v>4537769.1745653348</v>
      </c>
      <c r="F24" s="45">
        <f t="shared" si="0"/>
        <v>10.5</v>
      </c>
      <c r="G24" s="47">
        <f t="shared" si="2"/>
        <v>14000000</v>
      </c>
      <c r="H24" s="50">
        <f t="shared" si="8"/>
        <v>13598118.630822493</v>
      </c>
      <c r="I24" s="47">
        <f t="shared" si="3"/>
        <v>25537769.174565334</v>
      </c>
      <c r="J24" s="48">
        <f t="shared" si="4"/>
        <v>14.924563179678552</v>
      </c>
      <c r="K24" s="76">
        <f t="shared" si="5"/>
        <v>14</v>
      </c>
      <c r="L24" s="81">
        <f t="shared" si="6"/>
        <v>0.1121121223720063</v>
      </c>
    </row>
    <row r="25" spans="3:12" x14ac:dyDescent="0.25">
      <c r="C25" s="37">
        <f t="shared" si="7"/>
        <v>2035</v>
      </c>
      <c r="D25" s="45">
        <v>15</v>
      </c>
      <c r="E25" s="46">
        <f t="shared" si="1"/>
        <v>4673902.2498022951</v>
      </c>
      <c r="F25" s="45">
        <f t="shared" si="0"/>
        <v>11.25</v>
      </c>
      <c r="G25" s="47">
        <f t="shared" si="2"/>
        <v>15000000</v>
      </c>
      <c r="H25" s="50">
        <f t="shared" si="8"/>
        <v>14685968.121288294</v>
      </c>
      <c r="I25" s="47">
        <f t="shared" si="3"/>
        <v>26673902.249802295</v>
      </c>
      <c r="J25" s="48">
        <f t="shared" si="4"/>
        <v>14.984917660642502</v>
      </c>
      <c r="K25" s="76">
        <f t="shared" si="5"/>
        <v>14</v>
      </c>
      <c r="L25" s="81">
        <f t="shared" si="6"/>
        <v>0.16475579808528473</v>
      </c>
    </row>
    <row r="27" spans="3:12" x14ac:dyDescent="0.25">
      <c r="G27" s="9" t="s">
        <v>149</v>
      </c>
      <c r="I27" s="9" t="s">
        <v>170</v>
      </c>
      <c r="J27" s="9" t="s">
        <v>170</v>
      </c>
      <c r="K27" s="9" t="s">
        <v>149</v>
      </c>
      <c r="L27" s="9" t="s">
        <v>143</v>
      </c>
    </row>
    <row r="29" spans="3:12" x14ac:dyDescent="0.25">
      <c r="G29" s="9" t="s">
        <v>171</v>
      </c>
    </row>
  </sheetData>
  <mergeCells count="1">
    <mergeCell ref="G8:K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D15" sqref="D15:E15"/>
    </sheetView>
  </sheetViews>
  <sheetFormatPr defaultRowHeight="15" x14ac:dyDescent="0.25"/>
  <cols>
    <col min="1" max="1" width="9.140625" style="9"/>
    <col min="2" max="2" width="19.28515625" style="9" bestFit="1" customWidth="1"/>
    <col min="3" max="4" width="9.140625" style="9"/>
    <col min="5" max="6" width="22.85546875" style="9" bestFit="1" customWidth="1"/>
    <col min="7" max="7" width="9.7109375" style="9" bestFit="1" customWidth="1"/>
    <col min="8" max="8" width="22.140625" style="9" bestFit="1" customWidth="1"/>
    <col min="9" max="16384" width="9.140625" style="9"/>
  </cols>
  <sheetData>
    <row r="2" spans="1:7" x14ac:dyDescent="0.25">
      <c r="B2" s="53"/>
      <c r="F2" s="83" t="s">
        <v>149</v>
      </c>
      <c r="G2" s="83" t="s">
        <v>143</v>
      </c>
    </row>
    <row r="3" spans="1:7" x14ac:dyDescent="0.25">
      <c r="A3" s="9" t="s">
        <v>80</v>
      </c>
      <c r="C3" s="9" t="s">
        <v>81</v>
      </c>
      <c r="D3" s="9" t="s">
        <v>82</v>
      </c>
      <c r="E3" s="9" t="s">
        <v>83</v>
      </c>
      <c r="F3" s="8" t="s">
        <v>55</v>
      </c>
      <c r="G3" s="8" t="s">
        <v>175</v>
      </c>
    </row>
    <row r="4" spans="1:7" x14ac:dyDescent="0.25">
      <c r="B4" s="9" t="s">
        <v>84</v>
      </c>
      <c r="C4" s="2">
        <v>0.1</v>
      </c>
      <c r="D4" s="2">
        <v>0.15</v>
      </c>
      <c r="E4" s="1">
        <v>0.7</v>
      </c>
      <c r="F4" s="24">
        <f>D4^2</f>
        <v>2.2499999999999999E-2</v>
      </c>
      <c r="G4" s="59">
        <f>F4+C4^2</f>
        <v>3.2500000000000001E-2</v>
      </c>
    </row>
    <row r="5" spans="1:7" x14ac:dyDescent="0.25">
      <c r="B5" s="9" t="s">
        <v>85</v>
      </c>
      <c r="C5" s="2">
        <v>0.25</v>
      </c>
      <c r="D5" s="2">
        <v>0.3</v>
      </c>
      <c r="E5" s="1">
        <v>0.3</v>
      </c>
      <c r="F5" s="24">
        <f>D5^2</f>
        <v>0.09</v>
      </c>
      <c r="G5" s="59">
        <f>F5+C5^2</f>
        <v>0.1525</v>
      </c>
    </row>
    <row r="7" spans="1:7" x14ac:dyDescent="0.25">
      <c r="B7" s="9" t="s">
        <v>87</v>
      </c>
      <c r="C7" s="59">
        <f>SUMPRODUCT(E4:E5,C4:C5)</f>
        <v>0.14499999999999999</v>
      </c>
      <c r="D7" s="58" t="s">
        <v>109</v>
      </c>
      <c r="E7" s="83" t="s">
        <v>146</v>
      </c>
    </row>
    <row r="8" spans="1:7" x14ac:dyDescent="0.25">
      <c r="B8" s="8" t="s">
        <v>174</v>
      </c>
      <c r="C8" s="59">
        <f>SUMPRODUCT(E4:E5,G4:G5)</f>
        <v>6.8500000000000005E-2</v>
      </c>
      <c r="E8" s="83" t="s">
        <v>146</v>
      </c>
    </row>
    <row r="9" spans="1:7" x14ac:dyDescent="0.25">
      <c r="B9" s="9" t="s">
        <v>88</v>
      </c>
      <c r="C9" s="59">
        <f>C8-C7^2</f>
        <v>4.7475000000000003E-2</v>
      </c>
      <c r="D9" s="58" t="s">
        <v>110</v>
      </c>
      <c r="E9" s="83" t="s">
        <v>146</v>
      </c>
    </row>
    <row r="10" spans="1:7" x14ac:dyDescent="0.25">
      <c r="B10" s="9" t="s">
        <v>111</v>
      </c>
      <c r="C10" s="59">
        <f>SQRT(C9)</f>
        <v>0.21788758569500927</v>
      </c>
      <c r="E10" s="83" t="s">
        <v>146</v>
      </c>
    </row>
    <row r="11" spans="1:7" x14ac:dyDescent="0.25">
      <c r="C11" s="13"/>
    </row>
    <row r="12" spans="1:7" x14ac:dyDescent="0.25">
      <c r="A12" s="9" t="s">
        <v>89</v>
      </c>
      <c r="D12" s="9" t="s">
        <v>86</v>
      </c>
      <c r="E12" s="9" t="s">
        <v>90</v>
      </c>
    </row>
    <row r="13" spans="1:7" x14ac:dyDescent="0.25">
      <c r="B13" s="92" t="s">
        <v>91</v>
      </c>
      <c r="C13" s="54">
        <v>0</v>
      </c>
      <c r="D13" s="59">
        <f>NORMDIST(C13,$C$4,$D$4,TRUE)*E4+NORMDIST(C13,$C$5,$D$5,TRUE)*E5</f>
        <v>0.23744329057193886</v>
      </c>
      <c r="E13" s="59">
        <f>NORMDIST(C13,$C$7,$C$10,TRUE)</f>
        <v>0.25287151708267985</v>
      </c>
    </row>
    <row r="14" spans="1:7" x14ac:dyDescent="0.25">
      <c r="B14" s="92"/>
      <c r="C14" s="54">
        <f>-10%</f>
        <v>-0.1</v>
      </c>
      <c r="D14" s="59">
        <f>NORMDIST(C14,$C$4,$D$4,TRUE)*E4+NORMDIST(C14,$C$5,$D$5,TRUE)*E5</f>
        <v>0.10034960518042184</v>
      </c>
      <c r="E14" s="59">
        <f>NORMDIST(C14,$C$7,$C$10,TRUE)</f>
        <v>0.13041468138301243</v>
      </c>
    </row>
    <row r="15" spans="1:7" x14ac:dyDescent="0.25">
      <c r="D15" s="83" t="s">
        <v>155</v>
      </c>
      <c r="E15" s="83" t="s">
        <v>143</v>
      </c>
    </row>
  </sheetData>
  <mergeCells count="1">
    <mergeCell ref="B13:B14"/>
  </mergeCells>
  <pageMargins left="0.7" right="0.7" top="0.75" bottom="0.75" header="0.3" footer="0.3"/>
  <pageSetup paperSize="9" orientation="portrait" horizontalDpi="30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E17" sqref="E17"/>
    </sheetView>
  </sheetViews>
  <sheetFormatPr defaultRowHeight="15" x14ac:dyDescent="0.25"/>
  <cols>
    <col min="1" max="1" width="26.28515625" style="9" bestFit="1" customWidth="1"/>
    <col min="2" max="2" width="14.28515625" style="9" bestFit="1" customWidth="1"/>
    <col min="3" max="3" width="10.85546875" style="9" bestFit="1" customWidth="1"/>
    <col min="4" max="4" width="9.42578125" style="9" bestFit="1" customWidth="1"/>
    <col min="5" max="5" width="13.42578125" style="9" bestFit="1" customWidth="1"/>
    <col min="6" max="6" width="14.28515625" style="9" bestFit="1" customWidth="1"/>
    <col min="7" max="7" width="12.7109375" style="9" customWidth="1"/>
    <col min="8" max="8" width="14.28515625" style="9" bestFit="1" customWidth="1"/>
    <col min="9" max="16384" width="9.140625" style="9"/>
  </cols>
  <sheetData>
    <row r="2" spans="1:9" x14ac:dyDescent="0.25">
      <c r="A2" s="9" t="s">
        <v>92</v>
      </c>
      <c r="B2" s="9">
        <v>500</v>
      </c>
    </row>
    <row r="3" spans="1:9" x14ac:dyDescent="0.25">
      <c r="A3" s="9" t="s">
        <v>93</v>
      </c>
      <c r="B3" s="9">
        <v>100</v>
      </c>
    </row>
    <row r="4" spans="1:9" x14ac:dyDescent="0.25">
      <c r="F4" s="67" t="s">
        <v>77</v>
      </c>
      <c r="G4" s="67"/>
      <c r="H4" s="67"/>
      <c r="I4" s="67"/>
    </row>
    <row r="5" spans="1:9" ht="30" x14ac:dyDescent="0.25">
      <c r="B5" s="55" t="s">
        <v>112</v>
      </c>
      <c r="C5" s="55" t="s">
        <v>94</v>
      </c>
      <c r="D5" s="55" t="s">
        <v>113</v>
      </c>
      <c r="E5" s="55" t="s">
        <v>114</v>
      </c>
      <c r="F5" s="60" t="s">
        <v>176</v>
      </c>
      <c r="G5" s="60" t="s">
        <v>177</v>
      </c>
      <c r="H5" s="60"/>
    </row>
    <row r="6" spans="1:9" x14ac:dyDescent="0.25">
      <c r="B6" s="56">
        <v>0.05</v>
      </c>
      <c r="C6" s="55">
        <v>400</v>
      </c>
      <c r="D6" s="61">
        <f>C6-$B$2</f>
        <v>-100</v>
      </c>
      <c r="E6" s="60">
        <f>D6*$B$3</f>
        <v>-10000</v>
      </c>
      <c r="F6" s="61">
        <f>(E6-$B$14)^2</f>
        <v>89302500</v>
      </c>
      <c r="G6" s="61">
        <f>IF(E6&lt;0,1,0)</f>
        <v>1</v>
      </c>
      <c r="H6" s="61"/>
    </row>
    <row r="7" spans="1:9" x14ac:dyDescent="0.25">
      <c r="B7" s="56">
        <v>0.1</v>
      </c>
      <c r="C7" s="55">
        <v>425</v>
      </c>
      <c r="D7" s="61">
        <f t="shared" ref="D7:D12" si="0">C7-$B$2</f>
        <v>-75</v>
      </c>
      <c r="E7" s="60">
        <f t="shared" ref="E7:E12" si="1">D7*$B$3</f>
        <v>-7500</v>
      </c>
      <c r="F7" s="61">
        <f t="shared" ref="F7:F12" si="2">(E7-$B$14)^2</f>
        <v>48302500</v>
      </c>
      <c r="G7" s="61">
        <f t="shared" ref="G7:G12" si="3">IF(E7&lt;0,1,0)</f>
        <v>1</v>
      </c>
      <c r="H7" s="61"/>
    </row>
    <row r="8" spans="1:9" x14ac:dyDescent="0.25">
      <c r="B8" s="56">
        <v>0.15</v>
      </c>
      <c r="C8" s="55">
        <v>450</v>
      </c>
      <c r="D8" s="61">
        <f t="shared" si="0"/>
        <v>-50</v>
      </c>
      <c r="E8" s="60">
        <f t="shared" si="1"/>
        <v>-5000</v>
      </c>
      <c r="F8" s="61">
        <f t="shared" si="2"/>
        <v>19802500</v>
      </c>
      <c r="G8" s="61">
        <f t="shared" si="3"/>
        <v>1</v>
      </c>
      <c r="H8" s="61"/>
    </row>
    <row r="9" spans="1:9" x14ac:dyDescent="0.25">
      <c r="B9" s="56">
        <v>0.25</v>
      </c>
      <c r="C9" s="55">
        <v>470</v>
      </c>
      <c r="D9" s="61">
        <f t="shared" si="0"/>
        <v>-30</v>
      </c>
      <c r="E9" s="60">
        <f t="shared" si="1"/>
        <v>-3000</v>
      </c>
      <c r="F9" s="61">
        <f t="shared" si="2"/>
        <v>6002500</v>
      </c>
      <c r="G9" s="61">
        <f t="shared" si="3"/>
        <v>1</v>
      </c>
      <c r="H9" s="61"/>
    </row>
    <row r="10" spans="1:9" x14ac:dyDescent="0.25">
      <c r="B10" s="56">
        <v>0.3</v>
      </c>
      <c r="C10" s="55">
        <v>540</v>
      </c>
      <c r="D10" s="61">
        <f t="shared" si="0"/>
        <v>40</v>
      </c>
      <c r="E10" s="60">
        <f t="shared" si="1"/>
        <v>4000</v>
      </c>
      <c r="F10" s="61">
        <f t="shared" si="2"/>
        <v>20702500</v>
      </c>
      <c r="G10" s="61">
        <f t="shared" si="3"/>
        <v>0</v>
      </c>
      <c r="H10" s="61"/>
    </row>
    <row r="11" spans="1:9" x14ac:dyDescent="0.25">
      <c r="B11" s="56">
        <v>0.1</v>
      </c>
      <c r="C11" s="55">
        <v>550</v>
      </c>
      <c r="D11" s="61">
        <f t="shared" si="0"/>
        <v>50</v>
      </c>
      <c r="E11" s="60">
        <f t="shared" si="1"/>
        <v>5000</v>
      </c>
      <c r="F11" s="61">
        <f t="shared" si="2"/>
        <v>30802500</v>
      </c>
      <c r="G11" s="61">
        <f t="shared" si="3"/>
        <v>0</v>
      </c>
      <c r="H11" s="61"/>
    </row>
    <row r="12" spans="1:9" x14ac:dyDescent="0.25">
      <c r="B12" s="56">
        <v>0.05</v>
      </c>
      <c r="C12" s="55">
        <v>600</v>
      </c>
      <c r="D12" s="61">
        <f t="shared" si="0"/>
        <v>100</v>
      </c>
      <c r="E12" s="60">
        <f t="shared" si="1"/>
        <v>10000</v>
      </c>
      <c r="F12" s="61">
        <f t="shared" si="2"/>
        <v>111302500</v>
      </c>
      <c r="G12" s="61">
        <f t="shared" si="3"/>
        <v>0</v>
      </c>
      <c r="H12" s="65"/>
    </row>
    <row r="13" spans="1:9" s="28" customFormat="1" x14ac:dyDescent="0.25">
      <c r="B13" s="62"/>
      <c r="C13" s="63"/>
      <c r="D13" s="84" t="s">
        <v>146</v>
      </c>
      <c r="E13" s="85" t="s">
        <v>146</v>
      </c>
      <c r="F13" s="85" t="s">
        <v>149</v>
      </c>
      <c r="G13" s="85" t="s">
        <v>149</v>
      </c>
      <c r="H13" s="64"/>
    </row>
    <row r="14" spans="1:9" ht="15.75" x14ac:dyDescent="0.25">
      <c r="A14" s="6" t="s">
        <v>95</v>
      </c>
      <c r="B14" s="8">
        <f>SUMPRODUCT(B6:B12,E6:E12)</f>
        <v>-550</v>
      </c>
      <c r="C14" s="83" t="s">
        <v>149</v>
      </c>
      <c r="E14" s="66"/>
      <c r="F14" s="40"/>
      <c r="G14" s="40"/>
      <c r="H14" s="40"/>
    </row>
    <row r="15" spans="1:9" ht="15.75" x14ac:dyDescent="0.25">
      <c r="A15" s="6" t="s">
        <v>96</v>
      </c>
      <c r="B15" s="77">
        <f>SUMPRODUCT(B6:B12,F6:F12)</f>
        <v>28622500</v>
      </c>
      <c r="C15" s="83" t="s">
        <v>149</v>
      </c>
      <c r="E15" s="40"/>
      <c r="F15" s="66"/>
      <c r="G15" s="40"/>
      <c r="H15" s="40"/>
    </row>
    <row r="16" spans="1:9" ht="15.75" x14ac:dyDescent="0.25">
      <c r="A16" s="6" t="s">
        <v>97</v>
      </c>
      <c r="B16" s="77">
        <f>SUMPRODUCT(B6:B12,F6:F12,G6:G12)</f>
        <v>13766375</v>
      </c>
      <c r="C16" s="83" t="s">
        <v>149</v>
      </c>
      <c r="E16" s="40"/>
      <c r="F16" s="40"/>
      <c r="G16" s="40"/>
      <c r="H16" s="66"/>
    </row>
    <row r="17" spans="5:8" x14ac:dyDescent="0.25">
      <c r="E17" s="40"/>
      <c r="F17" s="40"/>
      <c r="G17" s="40"/>
      <c r="H17" s="40"/>
    </row>
    <row r="18" spans="5:8" x14ac:dyDescent="0.25">
      <c r="E18" s="40"/>
      <c r="F18" s="40"/>
      <c r="G18" s="40"/>
      <c r="H18" s="40"/>
    </row>
    <row r="19" spans="5:8" x14ac:dyDescent="0.25">
      <c r="E19" s="40"/>
      <c r="F19" s="40"/>
      <c r="G19" s="40"/>
      <c r="H19" s="40"/>
    </row>
    <row r="20" spans="5:8" x14ac:dyDescent="0.25">
      <c r="E20" s="40"/>
      <c r="F20" s="40"/>
      <c r="G20" s="40"/>
      <c r="H20" s="40"/>
    </row>
  </sheetData>
  <pageMargins left="0.7" right="0.7" top="0.75" bottom="0.75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D9" sqref="D9"/>
    </sheetView>
  </sheetViews>
  <sheetFormatPr defaultRowHeight="15" x14ac:dyDescent="0.25"/>
  <cols>
    <col min="1" max="1" width="15.5703125" style="9" bestFit="1" customWidth="1"/>
    <col min="2" max="16384" width="9.140625" style="9"/>
  </cols>
  <sheetData>
    <row r="1" spans="1:4" x14ac:dyDescent="0.25">
      <c r="A1" s="9" t="s">
        <v>98</v>
      </c>
      <c r="B1" s="8">
        <v>420</v>
      </c>
      <c r="D1" s="9" t="s">
        <v>181</v>
      </c>
    </row>
    <row r="2" spans="1:4" x14ac:dyDescent="0.25">
      <c r="A2" s="9" t="s">
        <v>99</v>
      </c>
      <c r="B2" s="8">
        <v>400</v>
      </c>
    </row>
    <row r="3" spans="1:4" x14ac:dyDescent="0.25">
      <c r="A3" s="9" t="s">
        <v>100</v>
      </c>
      <c r="B3" s="29">
        <v>0.1</v>
      </c>
      <c r="C3" s="9" t="s">
        <v>179</v>
      </c>
    </row>
    <row r="4" spans="1:4" x14ac:dyDescent="0.25">
      <c r="A4" s="57" t="s">
        <v>119</v>
      </c>
      <c r="B4" s="29">
        <v>0.2</v>
      </c>
      <c r="C4" s="9" t="s">
        <v>179</v>
      </c>
    </row>
    <row r="5" spans="1:4" x14ac:dyDescent="0.25">
      <c r="A5" s="57" t="s">
        <v>101</v>
      </c>
      <c r="B5" s="8">
        <v>0.5</v>
      </c>
      <c r="C5" s="9" t="s">
        <v>178</v>
      </c>
    </row>
    <row r="7" spans="1:4" x14ac:dyDescent="0.25">
      <c r="A7" s="9" t="s">
        <v>102</v>
      </c>
      <c r="B7" s="8">
        <f>(LN($B$1/$B$2)+($B$3+$B$4^2/2)*$B$5)/($B$4*$B$5^(1/2))</f>
        <v>0.76926262810603152</v>
      </c>
      <c r="D7" s="9" t="s">
        <v>144</v>
      </c>
    </row>
    <row r="8" spans="1:4" x14ac:dyDescent="0.25">
      <c r="A8" s="9" t="s">
        <v>103</v>
      </c>
      <c r="B8" s="8">
        <f>B7-B4*SQRT(B5)</f>
        <v>0.62784127186872196</v>
      </c>
      <c r="D8" s="9" t="s">
        <v>149</v>
      </c>
    </row>
    <row r="9" spans="1:4" x14ac:dyDescent="0.25">
      <c r="B9" s="8"/>
    </row>
    <row r="10" spans="1:4" x14ac:dyDescent="0.25">
      <c r="A10" s="9" t="s">
        <v>120</v>
      </c>
      <c r="B10" s="8">
        <f>NORMSDIST(B7)</f>
        <v>0.77913129094266897</v>
      </c>
      <c r="D10" s="9" t="s">
        <v>146</v>
      </c>
    </row>
    <row r="11" spans="1:4" x14ac:dyDescent="0.25">
      <c r="A11" s="9" t="s">
        <v>121</v>
      </c>
      <c r="B11" s="8">
        <f>NORMSDIST(B8)</f>
        <v>0.73494603684590853</v>
      </c>
      <c r="D11" s="9" t="s">
        <v>146</v>
      </c>
    </row>
    <row r="13" spans="1:4" x14ac:dyDescent="0.25">
      <c r="A13" s="9" t="s">
        <v>104</v>
      </c>
      <c r="B13" s="8">
        <f>B2*EXP(-B3*B5)</f>
        <v>380.49176980028562</v>
      </c>
      <c r="D13" s="9" t="s">
        <v>146</v>
      </c>
    </row>
    <row r="15" spans="1:4" x14ac:dyDescent="0.25">
      <c r="A15" s="9" t="s">
        <v>115</v>
      </c>
      <c r="B15" s="58" t="s">
        <v>117</v>
      </c>
      <c r="C15" s="8">
        <f>B1*B10-B13*B11</f>
        <v>47.59422392871528</v>
      </c>
      <c r="D15" s="9" t="s">
        <v>149</v>
      </c>
    </row>
    <row r="16" spans="1:4" x14ac:dyDescent="0.25">
      <c r="B16" s="58"/>
      <c r="C16" s="28"/>
    </row>
    <row r="17" spans="1:9" x14ac:dyDescent="0.25">
      <c r="A17" s="9" t="s">
        <v>105</v>
      </c>
      <c r="B17" s="93" t="s">
        <v>180</v>
      </c>
      <c r="C17" s="94"/>
      <c r="D17" s="94"/>
      <c r="E17" s="94"/>
      <c r="F17" s="94"/>
      <c r="G17" s="94"/>
      <c r="H17" s="94"/>
      <c r="I17" s="9" t="s">
        <v>146</v>
      </c>
    </row>
    <row r="18" spans="1:9" x14ac:dyDescent="0.25">
      <c r="B18" s="58"/>
    </row>
    <row r="19" spans="1:9" x14ac:dyDescent="0.25">
      <c r="A19" s="9" t="s">
        <v>116</v>
      </c>
      <c r="B19" s="58" t="s">
        <v>118</v>
      </c>
      <c r="C19" s="8">
        <f>C15+B13-B1</f>
        <v>8.0859937290009043</v>
      </c>
      <c r="D19" s="9" t="s">
        <v>149</v>
      </c>
    </row>
  </sheetData>
  <mergeCells count="1">
    <mergeCell ref="B17:H1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85" zoomScaleNormal="85" workbookViewId="0"/>
  </sheetViews>
  <sheetFormatPr defaultRowHeight="15" x14ac:dyDescent="0.25"/>
  <cols>
    <col min="1" max="1" width="9.85546875" style="9" customWidth="1"/>
    <col min="2" max="6" width="9.140625" style="9"/>
    <col min="7" max="12" width="12.7109375" style="9" customWidth="1"/>
    <col min="13" max="13" width="14" style="9" bestFit="1" customWidth="1"/>
    <col min="14" max="14" width="23.140625" style="9" bestFit="1" customWidth="1"/>
    <col min="15" max="15" width="3.42578125" style="9" customWidth="1"/>
    <col min="16" max="16" width="14" style="9" bestFit="1" customWidth="1"/>
    <col min="17" max="17" width="23.140625" style="9" bestFit="1" customWidth="1"/>
    <col min="18" max="16384" width="9.140625" style="9"/>
  </cols>
  <sheetData>
    <row r="1" spans="1:17" x14ac:dyDescent="0.25">
      <c r="A1" s="9" t="s">
        <v>98</v>
      </c>
      <c r="B1" s="9">
        <v>400</v>
      </c>
      <c r="C1" s="9" t="s">
        <v>94</v>
      </c>
      <c r="E1" s="9" t="s">
        <v>187</v>
      </c>
    </row>
    <row r="2" spans="1:17" x14ac:dyDescent="0.25">
      <c r="A2" s="9" t="s">
        <v>99</v>
      </c>
      <c r="B2" s="9">
        <v>450</v>
      </c>
      <c r="C2" s="9" t="s">
        <v>106</v>
      </c>
    </row>
    <row r="3" spans="1:17" x14ac:dyDescent="0.25">
      <c r="A3" s="9" t="s">
        <v>100</v>
      </c>
      <c r="B3" s="1">
        <v>0.02</v>
      </c>
      <c r="C3" s="2" t="s">
        <v>107</v>
      </c>
    </row>
    <row r="4" spans="1:17" x14ac:dyDescent="0.25">
      <c r="A4" s="9" t="s">
        <v>122</v>
      </c>
      <c r="B4" s="9">
        <v>1.1499999999999999</v>
      </c>
      <c r="C4" s="9" t="s">
        <v>125</v>
      </c>
    </row>
    <row r="5" spans="1:17" x14ac:dyDescent="0.25">
      <c r="A5" s="9" t="s">
        <v>33</v>
      </c>
      <c r="B5" s="9">
        <v>0.9</v>
      </c>
      <c r="C5" s="9" t="s">
        <v>126</v>
      </c>
    </row>
    <row r="6" spans="1:17" x14ac:dyDescent="0.25">
      <c r="A6" s="9" t="s">
        <v>123</v>
      </c>
      <c r="B6" s="9">
        <v>0.5</v>
      </c>
      <c r="C6" s="9" t="s">
        <v>127</v>
      </c>
    </row>
    <row r="7" spans="1:17" x14ac:dyDescent="0.25">
      <c r="A7" s="9" t="s">
        <v>124</v>
      </c>
      <c r="B7" s="9">
        <v>0.5</v>
      </c>
      <c r="C7" s="9" t="s">
        <v>128</v>
      </c>
    </row>
    <row r="8" spans="1:17" x14ac:dyDescent="0.25">
      <c r="G8" s="95" t="s">
        <v>77</v>
      </c>
      <c r="H8" s="95"/>
      <c r="I8" s="95"/>
      <c r="J8" s="95"/>
      <c r="K8" s="95"/>
      <c r="L8" s="95"/>
      <c r="M8" s="68"/>
      <c r="N8" s="68"/>
      <c r="O8" s="68"/>
    </row>
    <row r="9" spans="1:17" x14ac:dyDescent="0.25">
      <c r="E9" s="9" t="s">
        <v>108</v>
      </c>
      <c r="M9" s="96" t="s">
        <v>133</v>
      </c>
      <c r="N9" s="96"/>
      <c r="P9" s="96" t="s">
        <v>134</v>
      </c>
      <c r="Q9" s="96"/>
    </row>
    <row r="10" spans="1:17" x14ac:dyDescent="0.25">
      <c r="E10" s="28"/>
      <c r="F10" s="28"/>
      <c r="G10" s="28"/>
      <c r="H10" s="28"/>
      <c r="I10" s="28"/>
      <c r="J10" s="28"/>
      <c r="K10" s="28"/>
      <c r="L10" s="28"/>
      <c r="M10" s="28" t="s">
        <v>132</v>
      </c>
      <c r="N10" s="28" t="s">
        <v>131</v>
      </c>
      <c r="O10" s="28"/>
      <c r="P10" s="28" t="s">
        <v>132</v>
      </c>
      <c r="Q10" s="28" t="s">
        <v>131</v>
      </c>
    </row>
    <row r="11" spans="1:17" x14ac:dyDescent="0.25"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25">
      <c r="E12" s="8" t="s">
        <v>182</v>
      </c>
      <c r="F12" s="8" t="s">
        <v>183</v>
      </c>
      <c r="G12" s="8" t="s">
        <v>184</v>
      </c>
      <c r="H12" s="8" t="s">
        <v>185</v>
      </c>
      <c r="I12" s="8" t="s">
        <v>186</v>
      </c>
      <c r="J12" s="8"/>
      <c r="K12" s="8"/>
      <c r="L12" s="8"/>
      <c r="M12" s="8"/>
      <c r="N12" s="8"/>
      <c r="O12" s="8"/>
      <c r="P12" s="8"/>
      <c r="Q12" s="8"/>
    </row>
    <row r="13" spans="1:17" x14ac:dyDescent="0.25"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5">
      <c r="E14" s="8"/>
      <c r="F14" s="8"/>
      <c r="G14" s="8"/>
      <c r="H14" s="8"/>
      <c r="I14" s="86">
        <f>H15*$B$4</f>
        <v>699.60249999999974</v>
      </c>
      <c r="J14" s="8"/>
      <c r="K14" s="8"/>
      <c r="L14" s="8"/>
      <c r="M14" s="8">
        <f>MAX(I14-$B$2,0)</f>
        <v>249.60249999999974</v>
      </c>
      <c r="N14" s="8">
        <f>B30^4</f>
        <v>5.3441323174593033E-2</v>
      </c>
      <c r="O14" s="8"/>
      <c r="P14" s="8">
        <f>M14</f>
        <v>249.60249999999974</v>
      </c>
      <c r="Q14" s="8">
        <f>N14</f>
        <v>5.3441323174593033E-2</v>
      </c>
    </row>
    <row r="15" spans="1:17" x14ac:dyDescent="0.25">
      <c r="E15" s="8"/>
      <c r="F15" s="8"/>
      <c r="G15" s="8"/>
      <c r="H15" s="86">
        <f>G16*$B$4</f>
        <v>608.3499999999998</v>
      </c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5">
      <c r="E16" s="8"/>
      <c r="F16" s="8"/>
      <c r="G16" s="86">
        <f>F17*$B$4</f>
        <v>528.99999999999989</v>
      </c>
      <c r="H16" s="8"/>
      <c r="I16" s="86">
        <f>H17*$B$4</f>
        <v>547.51499999999987</v>
      </c>
      <c r="J16" s="8"/>
      <c r="K16" s="8"/>
      <c r="L16" s="8"/>
      <c r="M16" s="8">
        <f t="shared" ref="M16:M22" si="0">MAX(I16-$B$2,0)</f>
        <v>97.514999999999873</v>
      </c>
      <c r="N16" s="8">
        <f>4*(B30^3)*(1-B30)</f>
        <v>0.23083310497920317</v>
      </c>
      <c r="O16" s="8"/>
      <c r="P16" s="8">
        <f t="shared" ref="P16:P22" si="1">M16</f>
        <v>97.514999999999873</v>
      </c>
      <c r="Q16" s="8">
        <f>(B30^3)*(1-B30)</f>
        <v>5.7708276244800794E-2</v>
      </c>
    </row>
    <row r="17" spans="1:17" x14ac:dyDescent="0.25">
      <c r="E17" s="8"/>
      <c r="F17" s="86">
        <f>E18*$B$4</f>
        <v>459.99999999999994</v>
      </c>
      <c r="G17" s="8"/>
      <c r="H17" s="86">
        <f>G18*$B$4</f>
        <v>476.09999999999991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5">
      <c r="E18" s="86">
        <f>B1</f>
        <v>400</v>
      </c>
      <c r="F18" s="8"/>
      <c r="G18" s="86">
        <f>F19*$B$4</f>
        <v>413.99999999999994</v>
      </c>
      <c r="H18" s="8"/>
      <c r="I18" s="86">
        <f>H19*$B$4</f>
        <v>428.48999999999995</v>
      </c>
      <c r="J18" s="8"/>
      <c r="K18" s="8"/>
      <c r="L18" s="8"/>
      <c r="M18" s="8">
        <f t="shared" si="0"/>
        <v>0</v>
      </c>
      <c r="N18" s="8"/>
      <c r="O18" s="8"/>
      <c r="P18" s="8">
        <f t="shared" si="1"/>
        <v>0</v>
      </c>
      <c r="Q18" s="8"/>
    </row>
    <row r="19" spans="1:17" x14ac:dyDescent="0.25">
      <c r="E19" s="8"/>
      <c r="F19" s="86">
        <f>E18*$B$5</f>
        <v>360</v>
      </c>
      <c r="G19" s="8"/>
      <c r="H19" s="86">
        <f>G20*$B$4</f>
        <v>372.59999999999997</v>
      </c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5">
      <c r="E20" s="8"/>
      <c r="F20" s="8"/>
      <c r="G20" s="86">
        <f>F19*$B$5</f>
        <v>324</v>
      </c>
      <c r="H20" s="8"/>
      <c r="I20" s="86">
        <f>H21*$B$4</f>
        <v>335.34</v>
      </c>
      <c r="J20" s="8"/>
      <c r="K20" s="8"/>
      <c r="L20" s="8"/>
      <c r="M20" s="8">
        <f t="shared" si="0"/>
        <v>0</v>
      </c>
      <c r="N20" s="8"/>
      <c r="O20" s="8"/>
      <c r="P20" s="8">
        <f t="shared" si="1"/>
        <v>0</v>
      </c>
      <c r="Q20" s="8"/>
    </row>
    <row r="21" spans="1:17" x14ac:dyDescent="0.25">
      <c r="E21" s="8"/>
      <c r="F21" s="8"/>
      <c r="G21" s="8"/>
      <c r="H21" s="86">
        <f>G20*$B$5</f>
        <v>291.60000000000002</v>
      </c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5">
      <c r="E22" s="8"/>
      <c r="F22" s="8"/>
      <c r="G22" s="8"/>
      <c r="H22" s="8"/>
      <c r="I22" s="86">
        <f>H21*$B$5</f>
        <v>262.44000000000005</v>
      </c>
      <c r="J22" s="8"/>
      <c r="K22" s="8"/>
      <c r="L22" s="8"/>
      <c r="M22" s="8">
        <f t="shared" si="0"/>
        <v>0</v>
      </c>
      <c r="N22" s="8"/>
      <c r="O22" s="8"/>
      <c r="P22" s="8">
        <f t="shared" si="1"/>
        <v>0</v>
      </c>
      <c r="Q22" s="8"/>
    </row>
    <row r="23" spans="1:17" x14ac:dyDescent="0.25"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5"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5"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5"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5">
      <c r="E27" s="9" t="s">
        <v>188</v>
      </c>
      <c r="M27" s="9" t="s">
        <v>149</v>
      </c>
      <c r="N27" s="9" t="s">
        <v>189</v>
      </c>
      <c r="P27" s="9" t="s">
        <v>190</v>
      </c>
      <c r="Q27" s="9" t="s">
        <v>192</v>
      </c>
    </row>
    <row r="29" spans="1:17" x14ac:dyDescent="0.25">
      <c r="A29" s="9" t="s">
        <v>130</v>
      </c>
    </row>
    <row r="30" spans="1:17" x14ac:dyDescent="0.25">
      <c r="A30" s="9" t="s">
        <v>129</v>
      </c>
      <c r="B30" s="8">
        <f>(EXP(B3)-B5)/(B4-B5)</f>
        <v>0.48080536010702324</v>
      </c>
      <c r="E30" s="9" t="s">
        <v>149</v>
      </c>
    </row>
    <row r="32" spans="1:17" x14ac:dyDescent="0.25">
      <c r="A32" s="9" t="s">
        <v>135</v>
      </c>
    </row>
    <row r="33" spans="1:9" x14ac:dyDescent="0.25">
      <c r="A33" s="9" t="s">
        <v>136</v>
      </c>
      <c r="B33" s="8">
        <f>(EXP(-B3*4))*SUMPRODUCT(M14:M22,N14:N22)</f>
        <v>33.092593061851055</v>
      </c>
      <c r="E33" s="9" t="s">
        <v>143</v>
      </c>
    </row>
    <row r="35" spans="1:9" x14ac:dyDescent="0.25">
      <c r="A35" s="9" t="s">
        <v>137</v>
      </c>
    </row>
    <row r="36" spans="1:9" x14ac:dyDescent="0.25">
      <c r="A36" s="9" t="s">
        <v>138</v>
      </c>
      <c r="B36" s="8">
        <f>(EXP(-B3*4))*SUMPRODUCT(P14:P22,Q14:Q22)</f>
        <v>17.508295807874454</v>
      </c>
      <c r="E36" s="9" t="s">
        <v>146</v>
      </c>
    </row>
    <row r="38" spans="1:9" x14ac:dyDescent="0.25">
      <c r="A38" s="9" t="s">
        <v>79</v>
      </c>
      <c r="B38" s="97" t="s">
        <v>191</v>
      </c>
      <c r="C38" s="97"/>
      <c r="D38" s="97"/>
      <c r="E38" s="97"/>
      <c r="F38" s="97"/>
      <c r="G38" s="97"/>
      <c r="H38" s="97"/>
      <c r="I38" s="9" t="s">
        <v>149</v>
      </c>
    </row>
    <row r="39" spans="1:9" x14ac:dyDescent="0.25">
      <c r="B39" s="97"/>
      <c r="C39" s="97"/>
      <c r="D39" s="97"/>
      <c r="E39" s="97"/>
      <c r="F39" s="97"/>
      <c r="G39" s="97"/>
      <c r="H39" s="97"/>
    </row>
    <row r="40" spans="1:9" x14ac:dyDescent="0.25">
      <c r="B40" s="97"/>
      <c r="C40" s="97"/>
      <c r="D40" s="97"/>
      <c r="E40" s="97"/>
      <c r="F40" s="97"/>
      <c r="G40" s="97"/>
      <c r="H40" s="97"/>
    </row>
    <row r="41" spans="1:9" x14ac:dyDescent="0.25">
      <c r="B41" s="97"/>
      <c r="C41" s="97"/>
      <c r="D41" s="97"/>
      <c r="E41" s="97"/>
      <c r="F41" s="97"/>
      <c r="G41" s="97"/>
      <c r="H41" s="97"/>
    </row>
  </sheetData>
  <mergeCells count="4">
    <mergeCell ref="G8:L8"/>
    <mergeCell ref="M9:N9"/>
    <mergeCell ref="P9:Q9"/>
    <mergeCell ref="B38:H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workbookViewId="0">
      <selection activeCell="H8" sqref="H8"/>
    </sheetView>
  </sheetViews>
  <sheetFormatPr defaultRowHeight="15" x14ac:dyDescent="0.25"/>
  <cols>
    <col min="4" max="4" width="9.5703125" bestFit="1" customWidth="1"/>
    <col min="16" max="16" width="44.140625" customWidth="1"/>
  </cols>
  <sheetData>
    <row r="1" spans="2:16" x14ac:dyDescent="0.25">
      <c r="K1" s="9" t="s">
        <v>172</v>
      </c>
    </row>
    <row r="2" spans="2:16" x14ac:dyDescent="0.25">
      <c r="C2" s="1"/>
      <c r="D2" s="89" t="s">
        <v>0</v>
      </c>
      <c r="E2" s="89"/>
      <c r="F2" s="89"/>
      <c r="K2" s="90" t="s">
        <v>173</v>
      </c>
      <c r="L2" s="90"/>
      <c r="M2" s="90"/>
      <c r="N2" s="90"/>
      <c r="O2" s="90"/>
      <c r="P2" s="90"/>
    </row>
    <row r="3" spans="2:16" x14ac:dyDescent="0.25">
      <c r="C3" s="1"/>
      <c r="D3" s="4">
        <v>1</v>
      </c>
      <c r="E3" s="4">
        <v>2</v>
      </c>
      <c r="F3" s="4">
        <v>3</v>
      </c>
      <c r="K3" s="90"/>
      <c r="L3" s="90"/>
      <c r="M3" s="90"/>
      <c r="N3" s="90"/>
      <c r="O3" s="90"/>
      <c r="P3" s="90"/>
    </row>
    <row r="4" spans="2:16" ht="24" x14ac:dyDescent="0.45">
      <c r="C4" s="5" t="s">
        <v>1</v>
      </c>
      <c r="D4" s="82">
        <f>'Q1 Data'!C5/100</f>
        <v>0</v>
      </c>
      <c r="E4" s="82">
        <f>'Q1 Data'!D5/100</f>
        <v>2.6000000000000002E-2</v>
      </c>
      <c r="F4" s="82">
        <f>'Q1 Data'!E5/100</f>
        <v>-1.8000000000000002E-2</v>
      </c>
      <c r="K4" s="90"/>
      <c r="L4" s="90"/>
      <c r="M4" s="90"/>
      <c r="N4" s="90"/>
      <c r="O4" s="90"/>
      <c r="P4" s="90"/>
    </row>
    <row r="5" spans="2:16" ht="24" x14ac:dyDescent="0.45">
      <c r="C5" s="5" t="s">
        <v>2</v>
      </c>
      <c r="D5" s="15">
        <v>1.5</v>
      </c>
      <c r="E5" s="15">
        <v>0.7</v>
      </c>
      <c r="F5" s="15">
        <v>2.2000000000000002</v>
      </c>
    </row>
    <row r="6" spans="2:16" ht="24" x14ac:dyDescent="0.45">
      <c r="C6" s="5" t="s">
        <v>6</v>
      </c>
      <c r="D6" s="82">
        <f>'Q1 Data'!C7/10000</f>
        <v>2.1000000000000001E-4</v>
      </c>
      <c r="E6" s="82">
        <f>'Q1 Data'!D7/10000</f>
        <v>1.4999999999999999E-4</v>
      </c>
      <c r="F6" s="82">
        <f>'Q1 Data'!E7/10000</f>
        <v>1.8000000000000001E-4</v>
      </c>
    </row>
    <row r="8" spans="2:16" ht="24" x14ac:dyDescent="0.45">
      <c r="C8" s="5" t="s">
        <v>4</v>
      </c>
      <c r="D8" s="22">
        <v>0.08</v>
      </c>
      <c r="H8" s="87" t="s">
        <v>193</v>
      </c>
    </row>
    <row r="9" spans="2:16" ht="24" x14ac:dyDescent="0.45">
      <c r="C9" s="5" t="s">
        <v>5</v>
      </c>
      <c r="D9" s="22">
        <f>(4%)^2</f>
        <v>1.6000000000000001E-3</v>
      </c>
    </row>
    <row r="10" spans="2:16" s="9" customFormat="1" ht="21" x14ac:dyDescent="0.35">
      <c r="C10" s="5"/>
      <c r="D10" s="28"/>
      <c r="H10" s="11" t="s">
        <v>139</v>
      </c>
    </row>
    <row r="11" spans="2:16" x14ac:dyDescent="0.25">
      <c r="B11" t="s">
        <v>3</v>
      </c>
      <c r="H11" s="9"/>
    </row>
    <row r="12" spans="2:16" ht="18.75" x14ac:dyDescent="0.35">
      <c r="C12" s="6" t="s">
        <v>7</v>
      </c>
      <c r="D12" s="69">
        <f>D4+D5*D8</f>
        <v>0.12</v>
      </c>
      <c r="H12" s="9">
        <v>1</v>
      </c>
    </row>
    <row r="13" spans="2:16" ht="18.75" x14ac:dyDescent="0.35">
      <c r="C13" s="6" t="s">
        <v>8</v>
      </c>
      <c r="D13" s="69">
        <f>E4+E5*D8</f>
        <v>8.199999999999999E-2</v>
      </c>
      <c r="H13" s="9">
        <v>0.5</v>
      </c>
    </row>
    <row r="14" spans="2:16" ht="18.75" x14ac:dyDescent="0.35">
      <c r="C14" s="6" t="s">
        <v>9</v>
      </c>
      <c r="D14" s="69">
        <f>F4+F5*D8</f>
        <v>0.15800000000000003</v>
      </c>
      <c r="H14" s="9">
        <v>0.5</v>
      </c>
    </row>
    <row r="15" spans="2:16" x14ac:dyDescent="0.25">
      <c r="D15" s="9"/>
      <c r="H15" s="9"/>
    </row>
    <row r="16" spans="2:16" x14ac:dyDescent="0.25">
      <c r="D16" s="9"/>
      <c r="H16" s="9"/>
    </row>
    <row r="17" spans="2:9" ht="18.75" x14ac:dyDescent="0.35">
      <c r="C17" s="6" t="s">
        <v>11</v>
      </c>
      <c r="D17" s="7">
        <f>SQRT((D5^2)*D9+D6)</f>
        <v>6.1725197448043861E-2</v>
      </c>
      <c r="H17" s="9">
        <v>1</v>
      </c>
    </row>
    <row r="18" spans="2:9" ht="18.75" x14ac:dyDescent="0.35">
      <c r="C18" s="6" t="s">
        <v>12</v>
      </c>
      <c r="D18" s="7">
        <f>SQRT((E5^2)*D9+E6)</f>
        <v>3.056141357987225E-2</v>
      </c>
      <c r="H18" s="9">
        <v>0.5</v>
      </c>
    </row>
    <row r="19" spans="2:9" ht="15.75" x14ac:dyDescent="0.25">
      <c r="C19" s="6" t="s">
        <v>13</v>
      </c>
      <c r="D19" s="7">
        <f>SQRT((F5^2)*D9+F6)</f>
        <v>8.9016852337071559E-2</v>
      </c>
      <c r="H19" s="9">
        <v>0.5</v>
      </c>
    </row>
    <row r="22" spans="2:9" x14ac:dyDescent="0.25">
      <c r="B22" t="s">
        <v>10</v>
      </c>
    </row>
    <row r="23" spans="2:9" ht="18.75" x14ac:dyDescent="0.35">
      <c r="C23" s="6" t="s">
        <v>14</v>
      </c>
      <c r="D23" s="8">
        <f>D5*E5*D9</f>
        <v>1.6799999999999999E-3</v>
      </c>
      <c r="E23" s="9"/>
      <c r="F23" s="9"/>
      <c r="G23" s="9"/>
      <c r="H23" s="9">
        <v>1</v>
      </c>
    </row>
    <row r="24" spans="2:9" ht="18.75" x14ac:dyDescent="0.35">
      <c r="C24" s="6" t="s">
        <v>15</v>
      </c>
      <c r="D24" s="8">
        <f>D5*F5*D9</f>
        <v>5.2800000000000008E-3</v>
      </c>
      <c r="E24" s="9"/>
      <c r="F24" s="9"/>
      <c r="G24" s="9"/>
      <c r="H24" s="9">
        <v>0.5</v>
      </c>
    </row>
    <row r="25" spans="2:9" ht="18.75" x14ac:dyDescent="0.35">
      <c r="C25" s="6" t="s">
        <v>16</v>
      </c>
      <c r="D25" s="8">
        <f>E5*F5*D9</f>
        <v>2.464E-3</v>
      </c>
      <c r="E25" s="9"/>
      <c r="F25" s="9"/>
      <c r="G25" s="9"/>
      <c r="H25" s="9">
        <v>0.5</v>
      </c>
    </row>
    <row r="27" spans="2:9" s="9" customFormat="1" x14ac:dyDescent="0.25"/>
    <row r="28" spans="2:9" x14ac:dyDescent="0.25">
      <c r="B28" s="9" t="s">
        <v>53</v>
      </c>
    </row>
    <row r="29" spans="2:9" x14ac:dyDescent="0.25">
      <c r="D29" s="10" t="s">
        <v>17</v>
      </c>
      <c r="E29" s="10" t="s">
        <v>18</v>
      </c>
      <c r="F29" s="10" t="s">
        <v>19</v>
      </c>
    </row>
    <row r="30" spans="2:9" x14ac:dyDescent="0.25">
      <c r="C30" t="s">
        <v>17</v>
      </c>
      <c r="D30" s="8">
        <f>D17^2</f>
        <v>3.8100000000000005E-3</v>
      </c>
      <c r="E30" s="8">
        <f>D23</f>
        <v>1.6799999999999999E-3</v>
      </c>
      <c r="F30" s="8">
        <f>D24</f>
        <v>5.2800000000000008E-3</v>
      </c>
      <c r="H30" s="9">
        <v>1</v>
      </c>
      <c r="I30" s="9" t="s">
        <v>140</v>
      </c>
    </row>
    <row r="31" spans="2:9" x14ac:dyDescent="0.25">
      <c r="C31" t="s">
        <v>18</v>
      </c>
      <c r="D31" s="8">
        <f>D23</f>
        <v>1.6799999999999999E-3</v>
      </c>
      <c r="E31" s="8">
        <f>D18^2</f>
        <v>9.3399999999999993E-4</v>
      </c>
      <c r="F31" s="8">
        <f>D25</f>
        <v>2.464E-3</v>
      </c>
      <c r="H31" s="9">
        <v>1</v>
      </c>
      <c r="I31" s="9" t="s">
        <v>141</v>
      </c>
    </row>
    <row r="32" spans="2:9" x14ac:dyDescent="0.25">
      <c r="C32" t="s">
        <v>19</v>
      </c>
      <c r="D32" s="8">
        <f>D24</f>
        <v>5.2800000000000008E-3</v>
      </c>
      <c r="E32" s="8">
        <f>D25</f>
        <v>2.464E-3</v>
      </c>
      <c r="F32" s="8">
        <f>D19^2</f>
        <v>7.9240000000000022E-3</v>
      </c>
    </row>
  </sheetData>
  <mergeCells count="2">
    <mergeCell ref="D2:F2"/>
    <mergeCell ref="K2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workbookViewId="0">
      <selection activeCell="D6" sqref="D6:D8"/>
    </sheetView>
  </sheetViews>
  <sheetFormatPr defaultRowHeight="15.75" x14ac:dyDescent="0.25"/>
  <cols>
    <col min="1" max="2" width="9.140625" style="6"/>
    <col min="3" max="3" width="27.85546875" style="6" bestFit="1" customWidth="1"/>
    <col min="4" max="4" width="10.7109375" style="6" bestFit="1" customWidth="1"/>
    <col min="5" max="16384" width="9.140625" style="6"/>
  </cols>
  <sheetData>
    <row r="1" spans="2:7" x14ac:dyDescent="0.25">
      <c r="D1" s="6" t="s">
        <v>58</v>
      </c>
    </row>
    <row r="2" spans="2:7" x14ac:dyDescent="0.25">
      <c r="C2" s="6" t="s">
        <v>25</v>
      </c>
      <c r="D2" s="30">
        <v>0.5</v>
      </c>
    </row>
    <row r="3" spans="2:7" x14ac:dyDescent="0.25">
      <c r="C3" s="6" t="s">
        <v>26</v>
      </c>
      <c r="D3" s="30">
        <v>0.3</v>
      </c>
    </row>
    <row r="4" spans="2:7" x14ac:dyDescent="0.25">
      <c r="C4" s="6" t="s">
        <v>27</v>
      </c>
      <c r="D4" s="30">
        <v>0.2</v>
      </c>
    </row>
    <row r="6" spans="2:7" x14ac:dyDescent="0.25">
      <c r="B6" s="18" t="s">
        <v>20</v>
      </c>
      <c r="C6" s="6" t="s">
        <v>34</v>
      </c>
      <c r="D6" s="69">
        <f>SUMPRODUCT(D2:D4,'Q1 (i)'!D12:D14)</f>
        <v>0.1162</v>
      </c>
      <c r="F6" s="18" t="s">
        <v>142</v>
      </c>
      <c r="G6" s="18"/>
    </row>
    <row r="8" spans="2:7" x14ac:dyDescent="0.25">
      <c r="B8" s="18"/>
      <c r="C8" s="6" t="s">
        <v>24</v>
      </c>
      <c r="D8" s="71">
        <f>'Q1 (i)'!D30*D2^2+'Q1 (i)'!E31*D3^2+'Q1 (i)'!F32*D4^2+2*'Q1 (i)'!D31*D2*D3+2*'Q1 (i)'!E32*D3*D4+2*'Q1 (i)'!D32*D4*D2</f>
        <v>3.2092000000000006E-3</v>
      </c>
      <c r="F8" s="18" t="s">
        <v>143</v>
      </c>
      <c r="G8" s="18"/>
    </row>
    <row r="10" spans="2:7" ht="18.75" x14ac:dyDescent="0.35">
      <c r="B10" s="18" t="s">
        <v>28</v>
      </c>
      <c r="C10" s="19" t="s">
        <v>29</v>
      </c>
      <c r="D10" s="70">
        <f>D2*'Q1 (i)'!D5+D3*'Q1 (i)'!E5+D4*'Q1 (i)'!F5</f>
        <v>1.4</v>
      </c>
      <c r="F10" s="18" t="s">
        <v>144</v>
      </c>
      <c r="G10" s="18"/>
    </row>
    <row r="12" spans="2:7" x14ac:dyDescent="0.25">
      <c r="C12" s="6" t="s">
        <v>30</v>
      </c>
      <c r="D12" s="72">
        <f>D10^2*'Q1 (i)'!D9</f>
        <v>3.1359999999999999E-3</v>
      </c>
      <c r="F12" s="18" t="s">
        <v>144</v>
      </c>
      <c r="G12" s="18"/>
    </row>
    <row r="14" spans="2:7" x14ac:dyDescent="0.25">
      <c r="B14" s="18" t="s">
        <v>31</v>
      </c>
      <c r="C14" s="6" t="s">
        <v>32</v>
      </c>
      <c r="D14" s="71">
        <f>D8-D12</f>
        <v>7.3200000000000695E-5</v>
      </c>
      <c r="F14" s="18" t="s">
        <v>142</v>
      </c>
      <c r="G14" s="18"/>
    </row>
  </sheetData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/>
  </sheetViews>
  <sheetFormatPr defaultRowHeight="15.75" x14ac:dyDescent="0.25"/>
  <cols>
    <col min="1" max="2" width="9.140625" style="6"/>
    <col min="3" max="3" width="27.85546875" style="6" bestFit="1" customWidth="1"/>
    <col min="4" max="5" width="10.7109375" style="6" bestFit="1" customWidth="1"/>
    <col min="6" max="6" width="13.5703125" style="6" customWidth="1"/>
    <col min="7" max="16384" width="9.140625" style="6"/>
  </cols>
  <sheetData>
    <row r="1" spans="2:7" x14ac:dyDescent="0.25">
      <c r="D1" s="6" t="s">
        <v>49</v>
      </c>
      <c r="E1" s="6" t="s">
        <v>50</v>
      </c>
    </row>
    <row r="2" spans="2:7" x14ac:dyDescent="0.25">
      <c r="C2" s="6" t="s">
        <v>25</v>
      </c>
      <c r="D2" s="30">
        <v>0.3</v>
      </c>
      <c r="E2" s="31">
        <v>0.1</v>
      </c>
    </row>
    <row r="3" spans="2:7" x14ac:dyDescent="0.25">
      <c r="C3" s="6" t="s">
        <v>26</v>
      </c>
      <c r="D3" s="30">
        <v>0.4</v>
      </c>
      <c r="E3" s="31">
        <v>0.49472500000000003</v>
      </c>
    </row>
    <row r="4" spans="2:7" x14ac:dyDescent="0.25">
      <c r="C4" s="6" t="s">
        <v>27</v>
      </c>
      <c r="D4" s="30">
        <v>0.3</v>
      </c>
      <c r="E4" s="31">
        <f>1-E3-E2</f>
        <v>0.40527499999999994</v>
      </c>
    </row>
    <row r="6" spans="2:7" x14ac:dyDescent="0.25">
      <c r="B6" s="18" t="s">
        <v>20</v>
      </c>
      <c r="C6" s="6" t="s">
        <v>54</v>
      </c>
      <c r="D6" s="69">
        <f>SUMPRODUCT(D2:D4,'Q1 (i)'!D12:D14)</f>
        <v>0.1162</v>
      </c>
      <c r="E6" s="69">
        <f>SUMPRODUCT(E2:E4,'Q1 (i)'!D12:D14)</f>
        <v>0.11660090000000001</v>
      </c>
      <c r="G6" s="18" t="s">
        <v>149</v>
      </c>
    </row>
    <row r="8" spans="2:7" x14ac:dyDescent="0.25">
      <c r="B8" s="18"/>
      <c r="C8" s="6" t="s">
        <v>55</v>
      </c>
      <c r="D8" s="71">
        <f>'Q1 (i)'!D30*D2^2+'Q1 (i)'!E31*D3^2+'Q1 (i)'!F32*D4^2+2*'Q1 (i)'!D31*D2*D3+2*'Q1 (i)'!E32*D3*D4+2*'Q1 (i)'!D32*D4*D2</f>
        <v>3.1504600000000003E-3</v>
      </c>
      <c r="E8" s="71">
        <f>'Q1 (i)'!D30*E2^2+'Q1 (i)'!E31*E3^2+'Q1 (i)'!F32*E4^2+2*'Q1 (i)'!D31*E2*E3+2*'Q1 (i)'!E32*E3*E4+2*'Q1 (i)'!D32*E4*E2</f>
        <v>3.1504593047062498E-3</v>
      </c>
      <c r="G8" s="18" t="s">
        <v>149</v>
      </c>
    </row>
    <row r="10" spans="2:7" x14ac:dyDescent="0.25">
      <c r="B10" s="18" t="s">
        <v>28</v>
      </c>
      <c r="C10" s="27" t="s">
        <v>145</v>
      </c>
      <c r="D10" s="20"/>
      <c r="G10" s="18" t="s">
        <v>149</v>
      </c>
    </row>
    <row r="11" spans="2:7" x14ac:dyDescent="0.25">
      <c r="C11" s="7" t="s">
        <v>147</v>
      </c>
      <c r="D11" s="20"/>
      <c r="G11" s="18" t="s">
        <v>149</v>
      </c>
    </row>
    <row r="12" spans="2:7" x14ac:dyDescent="0.25">
      <c r="C12" s="7" t="s">
        <v>148</v>
      </c>
      <c r="D12" s="20"/>
      <c r="G12" s="18" t="s">
        <v>149</v>
      </c>
    </row>
    <row r="13" spans="2:7" x14ac:dyDescent="0.25">
      <c r="D13" s="20"/>
    </row>
    <row r="14" spans="2:7" x14ac:dyDescent="0.25">
      <c r="B14" s="18"/>
      <c r="D14" s="20"/>
      <c r="G14" s="18"/>
    </row>
    <row r="15" spans="2:7" x14ac:dyDescent="0.25">
      <c r="D15" s="20"/>
    </row>
  </sheetData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34"/>
  <sheetViews>
    <sheetView topLeftCell="F1" workbookViewId="0">
      <selection activeCell="R16" sqref="R16:R17"/>
    </sheetView>
  </sheetViews>
  <sheetFormatPr defaultRowHeight="15" x14ac:dyDescent="0.25"/>
  <cols>
    <col min="2" max="2" width="11.7109375" bestFit="1" customWidth="1"/>
    <col min="3" max="3" width="9.7109375" bestFit="1" customWidth="1"/>
    <col min="4" max="4" width="9.5703125" bestFit="1" customWidth="1"/>
    <col min="5" max="5" width="9.5703125" style="9" customWidth="1"/>
    <col min="6" max="6" width="12" bestFit="1" customWidth="1"/>
    <col min="7" max="7" width="11.85546875" bestFit="1" customWidth="1"/>
    <col min="8" max="8" width="15.28515625" bestFit="1" customWidth="1"/>
    <col min="9" max="10" width="21.85546875" style="9" bestFit="1" customWidth="1"/>
    <col min="11" max="11" width="8.28515625" style="28" customWidth="1"/>
    <col min="12" max="12" width="4.5703125" style="9" customWidth="1"/>
    <col min="13" max="13" width="27.42578125" bestFit="1" customWidth="1"/>
    <col min="14" max="14" width="16.7109375" customWidth="1"/>
  </cols>
  <sheetData>
    <row r="3" spans="2:18" x14ac:dyDescent="0.25">
      <c r="F3" s="12"/>
    </row>
    <row r="4" spans="2:18" x14ac:dyDescent="0.25">
      <c r="B4" s="1" t="s">
        <v>35</v>
      </c>
      <c r="C4" s="1" t="s">
        <v>36</v>
      </c>
      <c r="D4" s="1" t="s">
        <v>37</v>
      </c>
      <c r="E4" s="1" t="s">
        <v>40</v>
      </c>
      <c r="F4" s="32" t="s">
        <v>150</v>
      </c>
      <c r="G4" s="32" t="s">
        <v>151</v>
      </c>
      <c r="H4" s="32"/>
      <c r="I4" s="32"/>
      <c r="J4" s="32"/>
      <c r="K4" s="33"/>
      <c r="L4" s="1"/>
    </row>
    <row r="5" spans="2:18" x14ac:dyDescent="0.25">
      <c r="B5" s="4">
        <v>1</v>
      </c>
      <c r="C5" s="21">
        <v>-7.0000000000000007E-2</v>
      </c>
      <c r="D5" s="1">
        <v>-0.05</v>
      </c>
      <c r="E5" s="1">
        <v>-0.02</v>
      </c>
      <c r="F5" s="22">
        <f>(C5-$N$6)*(E5-$N$14)</f>
        <v>7.0266666666666672E-3</v>
      </c>
      <c r="G5" s="22">
        <f>(D5-$N$7)*(E5-$N$14)</f>
        <v>7.5706666666666674E-3</v>
      </c>
      <c r="H5" s="22"/>
      <c r="I5" s="22"/>
      <c r="J5" s="22"/>
      <c r="K5" s="34"/>
      <c r="L5" s="12"/>
    </row>
    <row r="6" spans="2:18" ht="15.75" x14ac:dyDescent="0.25">
      <c r="B6" s="4">
        <v>2</v>
      </c>
      <c r="C6" s="21">
        <v>0.23</v>
      </c>
      <c r="D6" s="1">
        <v>-0.06</v>
      </c>
      <c r="E6" s="1">
        <v>-0.03</v>
      </c>
      <c r="F6" s="22">
        <f t="shared" ref="F6:F34" si="0">(C6-$N$6)*(E6-$N$14)</f>
        <v>-1.5340000000000005E-2</v>
      </c>
      <c r="G6" s="22">
        <f t="shared" ref="G6:G34" si="1">(D6-$N$7)*(E6-$N$14)</f>
        <v>9.4640000000000037E-3</v>
      </c>
      <c r="H6" s="22"/>
      <c r="I6" s="22"/>
      <c r="J6" s="22"/>
      <c r="K6" s="34"/>
      <c r="L6" s="26" t="s">
        <v>48</v>
      </c>
      <c r="M6" t="s">
        <v>38</v>
      </c>
      <c r="N6" s="22">
        <f>AVERAGE(C5:C34)</f>
        <v>3.3333333333333333E-2</v>
      </c>
      <c r="O6" s="9"/>
      <c r="P6" s="9"/>
      <c r="Q6" s="18" t="s">
        <v>146</v>
      </c>
    </row>
    <row r="7" spans="2:18" ht="15.75" x14ac:dyDescent="0.25">
      <c r="B7" s="4">
        <v>3</v>
      </c>
      <c r="C7" s="21">
        <v>-0.06</v>
      </c>
      <c r="D7" s="1">
        <v>0.09</v>
      </c>
      <c r="E7" s="1">
        <v>0.14000000000000001</v>
      </c>
      <c r="F7" s="22">
        <f t="shared" si="0"/>
        <v>-8.5866666666666661E-3</v>
      </c>
      <c r="G7" s="22">
        <f t="shared" si="1"/>
        <v>2.6373333333333318E-3</v>
      </c>
      <c r="H7" s="22"/>
      <c r="I7" s="22"/>
      <c r="J7" s="22"/>
      <c r="K7" s="34"/>
      <c r="L7" s="12"/>
      <c r="M7" s="9" t="s">
        <v>39</v>
      </c>
      <c r="N7" s="22">
        <f>AVERAGE(D5:D34)</f>
        <v>6.1333333333333344E-2</v>
      </c>
      <c r="O7" s="9"/>
      <c r="P7" s="9"/>
      <c r="Q7" s="18" t="s">
        <v>146</v>
      </c>
    </row>
    <row r="8" spans="2:18" x14ac:dyDescent="0.25">
      <c r="B8" s="4">
        <v>4</v>
      </c>
      <c r="C8" s="21">
        <v>0.14000000000000001</v>
      </c>
      <c r="D8" s="1">
        <v>0.11</v>
      </c>
      <c r="E8" s="1">
        <v>0.06</v>
      </c>
      <c r="F8" s="22">
        <f t="shared" si="0"/>
        <v>1.2799999999999992E-3</v>
      </c>
      <c r="G8" s="22">
        <f t="shared" si="1"/>
        <v>5.8399999999999934E-4</v>
      </c>
      <c r="H8" s="22"/>
      <c r="I8" s="22"/>
      <c r="J8" s="22"/>
      <c r="K8" s="34"/>
      <c r="L8" s="12"/>
      <c r="N8" s="8"/>
      <c r="O8" s="9"/>
      <c r="P8" s="9"/>
      <c r="Q8" s="9"/>
    </row>
    <row r="9" spans="2:18" x14ac:dyDescent="0.25">
      <c r="B9" s="4">
        <v>5</v>
      </c>
      <c r="C9" s="21">
        <v>0.25</v>
      </c>
      <c r="D9" s="1">
        <v>0.19</v>
      </c>
      <c r="E9" s="1">
        <v>0.13</v>
      </c>
      <c r="F9" s="22">
        <f t="shared" si="0"/>
        <v>1.7766666666666667E-2</v>
      </c>
      <c r="G9" s="22">
        <f t="shared" si="1"/>
        <v>1.0550666666666665E-2</v>
      </c>
      <c r="H9" s="22"/>
      <c r="I9" s="22"/>
      <c r="J9" s="22"/>
      <c r="K9" s="34"/>
      <c r="L9" s="12"/>
      <c r="N9" s="8"/>
      <c r="O9" s="9"/>
      <c r="P9" s="9"/>
      <c r="Q9" s="9"/>
    </row>
    <row r="10" spans="2:18" ht="15.75" x14ac:dyDescent="0.25">
      <c r="B10" s="4">
        <v>6</v>
      </c>
      <c r="C10" s="21">
        <v>-0.14000000000000001</v>
      </c>
      <c r="D10" s="1">
        <v>0.19</v>
      </c>
      <c r="E10" s="1">
        <v>0.1</v>
      </c>
      <c r="F10" s="22">
        <f t="shared" si="0"/>
        <v>-9.0133333333333333E-3</v>
      </c>
      <c r="G10" s="22">
        <f t="shared" si="1"/>
        <v>6.6906666666666659E-3</v>
      </c>
      <c r="H10" s="22"/>
      <c r="I10" s="22"/>
      <c r="J10" s="22"/>
      <c r="K10" s="34"/>
      <c r="L10" s="12"/>
      <c r="M10" s="9" t="s">
        <v>56</v>
      </c>
      <c r="N10" s="23">
        <f>VAR(C5:C34)</f>
        <v>2.0167816091954022E-2</v>
      </c>
      <c r="O10" s="9"/>
      <c r="P10" s="9"/>
      <c r="Q10" s="18" t="s">
        <v>144</v>
      </c>
      <c r="R10" s="87" t="s">
        <v>194</v>
      </c>
    </row>
    <row r="11" spans="2:18" ht="15.75" x14ac:dyDescent="0.25">
      <c r="B11" s="4">
        <v>7</v>
      </c>
      <c r="C11" s="21">
        <v>0.13</v>
      </c>
      <c r="D11" s="1">
        <v>-0.01</v>
      </c>
      <c r="E11" s="1">
        <v>-0.02</v>
      </c>
      <c r="F11" s="22">
        <f t="shared" si="0"/>
        <v>-6.5733333333333347E-3</v>
      </c>
      <c r="G11" s="22">
        <f t="shared" si="1"/>
        <v>4.8506666666666681E-3</v>
      </c>
      <c r="H11" s="22"/>
      <c r="I11" s="22"/>
      <c r="J11" s="22"/>
      <c r="K11" s="34"/>
      <c r="L11" s="12"/>
      <c r="M11" s="9" t="s">
        <v>57</v>
      </c>
      <c r="N11" s="22">
        <f>VAR(D5:D34)</f>
        <v>8.2050574712643695E-3</v>
      </c>
      <c r="O11" s="9"/>
      <c r="P11" s="9"/>
      <c r="Q11" s="18" t="s">
        <v>144</v>
      </c>
      <c r="R11" s="87" t="s">
        <v>194</v>
      </c>
    </row>
    <row r="12" spans="2:18" x14ac:dyDescent="0.25">
      <c r="B12" s="4">
        <v>8</v>
      </c>
      <c r="C12" s="21">
        <v>0.19</v>
      </c>
      <c r="D12" s="1">
        <v>-0.06</v>
      </c>
      <c r="E12" s="1">
        <v>-0.03</v>
      </c>
      <c r="F12" s="22">
        <f t="shared" si="0"/>
        <v>-1.2220000000000003E-2</v>
      </c>
      <c r="G12" s="22">
        <f t="shared" si="1"/>
        <v>9.4640000000000037E-3</v>
      </c>
      <c r="H12" s="22"/>
      <c r="I12" s="22"/>
      <c r="J12" s="22"/>
      <c r="K12" s="34"/>
      <c r="L12" s="12"/>
      <c r="N12" s="8"/>
      <c r="O12" s="9"/>
      <c r="P12" s="9"/>
      <c r="Q12" s="9"/>
    </row>
    <row r="13" spans="2:18" x14ac:dyDescent="0.25">
      <c r="B13" s="4">
        <v>9</v>
      </c>
      <c r="C13" s="21">
        <v>0.15</v>
      </c>
      <c r="D13" s="1">
        <v>7.0000000000000007E-2</v>
      </c>
      <c r="E13" s="1">
        <v>0.12</v>
      </c>
      <c r="F13" s="22">
        <f t="shared" si="0"/>
        <v>8.3999999999999977E-3</v>
      </c>
      <c r="G13" s="22">
        <f t="shared" si="1"/>
        <v>6.2399999999999956E-4</v>
      </c>
      <c r="H13" s="22"/>
      <c r="I13" s="22"/>
      <c r="J13" s="22"/>
      <c r="K13" s="34"/>
      <c r="L13" s="12"/>
      <c r="N13" s="8"/>
      <c r="O13" s="9"/>
      <c r="P13" s="9"/>
      <c r="Q13" s="9"/>
    </row>
    <row r="14" spans="2:18" ht="15.75" x14ac:dyDescent="0.25">
      <c r="B14" s="4">
        <v>10</v>
      </c>
      <c r="C14" s="21">
        <v>-0.15</v>
      </c>
      <c r="D14" s="1">
        <v>0.2</v>
      </c>
      <c r="E14" s="1">
        <v>0.12</v>
      </c>
      <c r="F14" s="22">
        <f t="shared" si="0"/>
        <v>-1.3199999999999995E-2</v>
      </c>
      <c r="G14" s="22">
        <f t="shared" si="1"/>
        <v>9.9839999999999963E-3</v>
      </c>
      <c r="H14" s="22"/>
      <c r="I14" s="22"/>
      <c r="J14" s="22"/>
      <c r="K14" s="34"/>
      <c r="L14" s="26" t="s">
        <v>51</v>
      </c>
      <c r="M14" s="9" t="s">
        <v>41</v>
      </c>
      <c r="N14" s="22">
        <f>AVERAGE(E5:E34)</f>
        <v>4.8000000000000008E-2</v>
      </c>
      <c r="O14" s="9"/>
      <c r="P14" s="9"/>
      <c r="Q14" s="18" t="s">
        <v>146</v>
      </c>
    </row>
    <row r="15" spans="2:18" ht="15.75" x14ac:dyDescent="0.25">
      <c r="B15" s="4">
        <v>11</v>
      </c>
      <c r="C15" s="21">
        <v>0.14000000000000001</v>
      </c>
      <c r="D15" s="1">
        <v>0.14000000000000001</v>
      </c>
      <c r="E15" s="1">
        <v>0.13</v>
      </c>
      <c r="F15" s="22">
        <f t="shared" si="0"/>
        <v>8.7466666666666665E-3</v>
      </c>
      <c r="G15" s="22">
        <f t="shared" si="1"/>
        <v>6.4506666666666653E-3</v>
      </c>
      <c r="H15" s="22"/>
      <c r="I15" s="22"/>
      <c r="J15" s="22"/>
      <c r="K15" s="34"/>
      <c r="L15" s="12"/>
      <c r="M15" t="s">
        <v>42</v>
      </c>
      <c r="N15" s="22">
        <f>VAR(E5:E34)</f>
        <v>4.2303448275862066E-3</v>
      </c>
      <c r="O15" s="9"/>
      <c r="P15" s="9"/>
      <c r="Q15" s="18" t="s">
        <v>142</v>
      </c>
    </row>
    <row r="16" spans="2:18" ht="15.75" x14ac:dyDescent="0.25">
      <c r="B16" s="4">
        <v>12</v>
      </c>
      <c r="C16" s="21">
        <v>-0.06</v>
      </c>
      <c r="D16" s="1">
        <v>0.18</v>
      </c>
      <c r="E16" s="1">
        <v>0.09</v>
      </c>
      <c r="F16" s="22">
        <f t="shared" si="0"/>
        <v>-3.9199999999999981E-3</v>
      </c>
      <c r="G16" s="22">
        <f t="shared" si="1"/>
        <v>4.983999999999998E-3</v>
      </c>
      <c r="H16" s="22"/>
      <c r="I16" s="22"/>
      <c r="J16" s="22"/>
      <c r="K16" s="34"/>
      <c r="L16" s="12"/>
      <c r="M16" t="s">
        <v>43</v>
      </c>
      <c r="N16" s="24">
        <f>SUM(F5:F34)/29</f>
        <v>-1.3482758620689654E-3</v>
      </c>
      <c r="O16" s="9"/>
      <c r="P16" s="13"/>
      <c r="Q16" s="18" t="s">
        <v>144</v>
      </c>
      <c r="R16" s="87" t="s">
        <v>194</v>
      </c>
    </row>
    <row r="17" spans="2:18" ht="15.75" x14ac:dyDescent="0.25">
      <c r="B17" s="4">
        <v>13</v>
      </c>
      <c r="C17" s="21">
        <v>0.18</v>
      </c>
      <c r="D17" s="1">
        <v>0.11</v>
      </c>
      <c r="E17" s="1">
        <v>0.05</v>
      </c>
      <c r="F17" s="22">
        <f t="shared" si="0"/>
        <v>2.9333333333333257E-4</v>
      </c>
      <c r="G17" s="22">
        <f t="shared" si="1"/>
        <v>9.7333333333333061E-5</v>
      </c>
      <c r="H17" s="22"/>
      <c r="I17" s="22"/>
      <c r="J17" s="22"/>
      <c r="K17" s="34"/>
      <c r="L17" s="12"/>
      <c r="M17" s="9" t="s">
        <v>44</v>
      </c>
      <c r="N17" s="24">
        <f>SUM(G5:G34)/29</f>
        <v>4.5924137931034484E-3</v>
      </c>
      <c r="O17" s="9"/>
      <c r="P17" s="13"/>
      <c r="Q17" s="18" t="s">
        <v>144</v>
      </c>
      <c r="R17" s="87" t="s">
        <v>194</v>
      </c>
    </row>
    <row r="18" spans="2:18" ht="15.75" x14ac:dyDescent="0.25">
      <c r="B18" s="4">
        <v>14</v>
      </c>
      <c r="C18" s="21">
        <v>0.01</v>
      </c>
      <c r="D18" s="1">
        <v>0.17</v>
      </c>
      <c r="E18" s="1">
        <v>0.04</v>
      </c>
      <c r="F18" s="22">
        <f t="shared" si="0"/>
        <v>1.8666666666666682E-4</v>
      </c>
      <c r="G18" s="22">
        <f t="shared" si="1"/>
        <v>-8.6933333333333405E-4</v>
      </c>
      <c r="H18" s="22"/>
      <c r="I18" s="22"/>
      <c r="J18" s="22"/>
      <c r="K18" s="34"/>
      <c r="L18" s="12"/>
      <c r="M18" t="s">
        <v>45</v>
      </c>
      <c r="N18" s="25">
        <f>N16/N15</f>
        <v>-0.31871535702641018</v>
      </c>
      <c r="O18" s="9"/>
      <c r="P18" s="9"/>
      <c r="Q18" s="18" t="s">
        <v>142</v>
      </c>
    </row>
    <row r="19" spans="2:18" ht="15.75" x14ac:dyDescent="0.25">
      <c r="B19" s="4">
        <v>15</v>
      </c>
      <c r="C19" s="21">
        <v>-0.09</v>
      </c>
      <c r="D19" s="1">
        <v>0.14000000000000001</v>
      </c>
      <c r="E19" s="1">
        <v>0.13</v>
      </c>
      <c r="F19" s="22">
        <f t="shared" si="0"/>
        <v>-1.0113333333333332E-2</v>
      </c>
      <c r="G19" s="22">
        <f t="shared" si="1"/>
        <v>6.4506666666666653E-3</v>
      </c>
      <c r="H19" s="22"/>
      <c r="I19" s="22"/>
      <c r="J19" s="22"/>
      <c r="K19" s="34"/>
      <c r="L19" s="12"/>
      <c r="M19" s="9" t="s">
        <v>46</v>
      </c>
      <c r="N19" s="25">
        <f>N17/N15</f>
        <v>1.085588522986632</v>
      </c>
      <c r="O19" s="9"/>
      <c r="P19" s="9"/>
      <c r="Q19" s="18" t="s">
        <v>146</v>
      </c>
    </row>
    <row r="20" spans="2:18" x14ac:dyDescent="0.25">
      <c r="B20" s="4">
        <v>16</v>
      </c>
      <c r="C20" s="21">
        <v>-0.12</v>
      </c>
      <c r="D20" s="1">
        <v>0.1</v>
      </c>
      <c r="E20" s="1">
        <v>0.11</v>
      </c>
      <c r="F20" s="22">
        <f t="shared" si="0"/>
        <v>-9.506666666666665E-3</v>
      </c>
      <c r="G20" s="22">
        <f t="shared" si="1"/>
        <v>2.3973333333333329E-3</v>
      </c>
      <c r="H20" s="22"/>
      <c r="I20" s="22"/>
      <c r="J20" s="22"/>
      <c r="K20" s="34"/>
      <c r="L20" s="12"/>
    </row>
    <row r="21" spans="2:18" x14ac:dyDescent="0.25">
      <c r="B21" s="4">
        <v>17</v>
      </c>
      <c r="C21" s="21">
        <v>0.14000000000000001</v>
      </c>
      <c r="D21" s="1">
        <v>0</v>
      </c>
      <c r="E21" s="1">
        <v>-0.04</v>
      </c>
      <c r="F21" s="22">
        <f t="shared" si="0"/>
        <v>-9.3866666666666699E-3</v>
      </c>
      <c r="G21" s="22">
        <f t="shared" si="1"/>
        <v>5.3973333333333347E-3</v>
      </c>
      <c r="H21" s="22"/>
      <c r="I21" s="22"/>
      <c r="J21" s="22"/>
      <c r="K21" s="34"/>
      <c r="L21" s="12"/>
    </row>
    <row r="22" spans="2:18" ht="15.75" x14ac:dyDescent="0.25">
      <c r="B22" s="4">
        <v>18</v>
      </c>
      <c r="C22" s="21">
        <v>0.06</v>
      </c>
      <c r="D22" s="1">
        <v>0.08</v>
      </c>
      <c r="E22" s="1">
        <v>0.1</v>
      </c>
      <c r="F22" s="22">
        <f t="shared" si="0"/>
        <v>1.3866666666666665E-3</v>
      </c>
      <c r="G22" s="22">
        <f t="shared" si="1"/>
        <v>9.7066666666666612E-4</v>
      </c>
      <c r="H22" s="22"/>
      <c r="I22" s="22"/>
      <c r="J22" s="22"/>
      <c r="K22" s="34"/>
      <c r="L22" s="26" t="s">
        <v>52</v>
      </c>
      <c r="M22" s="11" t="s">
        <v>47</v>
      </c>
      <c r="Q22" s="18" t="s">
        <v>155</v>
      </c>
    </row>
    <row r="23" spans="2:18" x14ac:dyDescent="0.25">
      <c r="B23" s="4">
        <v>19</v>
      </c>
      <c r="C23" s="21">
        <v>-0.09</v>
      </c>
      <c r="D23" s="1">
        <v>-0.05</v>
      </c>
      <c r="E23" s="1">
        <v>-0.03</v>
      </c>
      <c r="F23" s="22">
        <f t="shared" si="0"/>
        <v>9.6200000000000001E-3</v>
      </c>
      <c r="G23" s="22">
        <f t="shared" si="1"/>
        <v>8.6840000000000025E-3</v>
      </c>
      <c r="H23" s="22"/>
      <c r="I23" s="22"/>
      <c r="J23" s="22"/>
      <c r="K23" s="34"/>
      <c r="L23" s="12"/>
      <c r="M23" s="11"/>
    </row>
    <row r="24" spans="2:18" x14ac:dyDescent="0.25">
      <c r="B24" s="4">
        <v>20</v>
      </c>
      <c r="C24" s="21">
        <v>0.25</v>
      </c>
      <c r="D24" s="1">
        <v>0.08</v>
      </c>
      <c r="E24" s="1">
        <v>0.03</v>
      </c>
      <c r="F24" s="22">
        <f t="shared" si="0"/>
        <v>-3.900000000000002E-3</v>
      </c>
      <c r="G24" s="22">
        <f t="shared" si="1"/>
        <v>-3.3600000000000004E-4</v>
      </c>
      <c r="H24" s="22"/>
      <c r="I24" s="22"/>
      <c r="J24" s="22"/>
      <c r="K24" s="34"/>
      <c r="L24" s="12"/>
      <c r="M24" s="8" t="s">
        <v>152</v>
      </c>
    </row>
    <row r="25" spans="2:18" x14ac:dyDescent="0.25">
      <c r="B25" s="4">
        <v>21</v>
      </c>
      <c r="C25" s="21">
        <v>-0.09</v>
      </c>
      <c r="D25" s="1">
        <v>0.14000000000000001</v>
      </c>
      <c r="E25" s="1">
        <v>0.04</v>
      </c>
      <c r="F25" s="22">
        <f t="shared" si="0"/>
        <v>9.8666666666666738E-4</v>
      </c>
      <c r="G25" s="22">
        <f t="shared" si="1"/>
        <v>-6.2933333333333385E-4</v>
      </c>
      <c r="H25" s="22"/>
      <c r="I25" s="22"/>
      <c r="J25" s="22"/>
      <c r="K25" s="34"/>
      <c r="L25" s="12"/>
      <c r="M25" s="8" t="s">
        <v>153</v>
      </c>
    </row>
    <row r="26" spans="2:18" x14ac:dyDescent="0.25">
      <c r="B26" s="4">
        <v>22</v>
      </c>
      <c r="C26" s="21">
        <v>0.14000000000000001</v>
      </c>
      <c r="D26" s="1">
        <v>0</v>
      </c>
      <c r="E26" s="1">
        <v>-0.06</v>
      </c>
      <c r="F26" s="22">
        <f t="shared" si="0"/>
        <v>-1.1520000000000004E-2</v>
      </c>
      <c r="G26" s="22">
        <f t="shared" si="1"/>
        <v>6.6240000000000023E-3</v>
      </c>
      <c r="H26" s="22"/>
      <c r="I26" s="22"/>
      <c r="J26" s="22"/>
      <c r="K26" s="34"/>
      <c r="L26" s="12"/>
      <c r="M26" s="8" t="s">
        <v>154</v>
      </c>
      <c r="N26" s="9"/>
    </row>
    <row r="27" spans="2:18" x14ac:dyDescent="0.25">
      <c r="B27" s="4">
        <v>23</v>
      </c>
      <c r="C27" s="21">
        <v>-0.18</v>
      </c>
      <c r="D27" s="1">
        <v>0.01</v>
      </c>
      <c r="E27" s="1">
        <v>0.04</v>
      </c>
      <c r="F27" s="22">
        <f t="shared" si="0"/>
        <v>1.706666666666668E-3</v>
      </c>
      <c r="G27" s="22">
        <f t="shared" si="1"/>
        <v>4.1066666666666709E-4</v>
      </c>
      <c r="H27" s="22"/>
      <c r="I27" s="22"/>
      <c r="J27" s="22"/>
      <c r="K27" s="34"/>
      <c r="L27" s="12"/>
    </row>
    <row r="28" spans="2:18" x14ac:dyDescent="0.25">
      <c r="B28" s="4">
        <v>24</v>
      </c>
      <c r="C28" s="21">
        <v>0.11</v>
      </c>
      <c r="D28" s="1">
        <v>0.08</v>
      </c>
      <c r="E28" s="1">
        <v>0.03</v>
      </c>
      <c r="F28" s="22">
        <f t="shared" si="0"/>
        <v>-1.3800000000000006E-3</v>
      </c>
      <c r="G28" s="22">
        <f t="shared" si="1"/>
        <v>-3.3600000000000004E-4</v>
      </c>
      <c r="H28" s="22"/>
      <c r="I28" s="22"/>
      <c r="J28" s="22"/>
      <c r="K28" s="34"/>
      <c r="L28" s="12"/>
    </row>
    <row r="29" spans="2:18" x14ac:dyDescent="0.25">
      <c r="B29" s="4">
        <v>25</v>
      </c>
      <c r="C29" s="21">
        <v>-0.15</v>
      </c>
      <c r="D29" s="1">
        <v>0.09</v>
      </c>
      <c r="E29" s="1">
        <v>0.12</v>
      </c>
      <c r="F29" s="22">
        <f t="shared" si="0"/>
        <v>-1.3199999999999995E-2</v>
      </c>
      <c r="G29" s="22">
        <f t="shared" si="1"/>
        <v>2.0639999999999986E-3</v>
      </c>
      <c r="H29" s="22"/>
      <c r="I29" s="22"/>
      <c r="J29" s="22"/>
      <c r="K29" s="34"/>
      <c r="L29" s="12"/>
    </row>
    <row r="30" spans="2:18" x14ac:dyDescent="0.25">
      <c r="B30" s="4">
        <v>26</v>
      </c>
      <c r="C30" s="21">
        <v>-0.06</v>
      </c>
      <c r="D30" s="1">
        <v>-0.06</v>
      </c>
      <c r="E30" s="1">
        <v>0.01</v>
      </c>
      <c r="F30" s="22">
        <f t="shared" si="0"/>
        <v>3.5466666666666667E-3</v>
      </c>
      <c r="G30" s="22">
        <f t="shared" si="1"/>
        <v>4.6106666666666683E-3</v>
      </c>
      <c r="H30" s="22"/>
      <c r="I30" s="22"/>
      <c r="J30" s="22"/>
      <c r="K30" s="34"/>
      <c r="L30" s="12"/>
    </row>
    <row r="31" spans="2:18" x14ac:dyDescent="0.25">
      <c r="B31" s="4">
        <v>27</v>
      </c>
      <c r="C31" s="21">
        <v>0.27</v>
      </c>
      <c r="D31" s="1">
        <v>0.04</v>
      </c>
      <c r="E31" s="1">
        <v>0.11</v>
      </c>
      <c r="F31" s="22">
        <f t="shared" si="0"/>
        <v>1.4673333333333333E-2</v>
      </c>
      <c r="G31" s="22">
        <f t="shared" si="1"/>
        <v>-1.3226666666666671E-3</v>
      </c>
      <c r="H31" s="22"/>
      <c r="I31" s="22"/>
      <c r="J31" s="22"/>
      <c r="K31" s="34"/>
      <c r="L31" s="12"/>
    </row>
    <row r="32" spans="2:18" x14ac:dyDescent="0.25">
      <c r="B32" s="4">
        <v>28</v>
      </c>
      <c r="C32" s="21">
        <v>-7.0000000000000007E-2</v>
      </c>
      <c r="D32" s="1">
        <v>0.1</v>
      </c>
      <c r="E32" s="1">
        <v>0.04</v>
      </c>
      <c r="F32" s="22">
        <f t="shared" si="0"/>
        <v>8.2666666666666739E-4</v>
      </c>
      <c r="G32" s="22">
        <f t="shared" si="1"/>
        <v>-3.0933333333333355E-4</v>
      </c>
      <c r="H32" s="22"/>
      <c r="I32" s="22"/>
      <c r="J32" s="22"/>
      <c r="K32" s="34"/>
      <c r="L32" s="12"/>
    </row>
    <row r="33" spans="2:12" x14ac:dyDescent="0.25">
      <c r="B33" s="4">
        <v>29</v>
      </c>
      <c r="C33" s="21">
        <v>0.03</v>
      </c>
      <c r="D33" s="1">
        <v>-0.08</v>
      </c>
      <c r="E33" s="1">
        <v>-0.02</v>
      </c>
      <c r="F33" s="22">
        <f t="shared" si="0"/>
        <v>2.2666666666666674E-4</v>
      </c>
      <c r="G33" s="22">
        <f t="shared" si="1"/>
        <v>9.6106666666666684E-3</v>
      </c>
      <c r="H33" s="22"/>
      <c r="I33" s="22"/>
      <c r="J33" s="22"/>
      <c r="K33" s="34"/>
      <c r="L33" s="12"/>
    </row>
    <row r="34" spans="2:12" x14ac:dyDescent="0.25">
      <c r="B34" s="4">
        <v>30</v>
      </c>
      <c r="C34" s="21">
        <v>-0.09</v>
      </c>
      <c r="D34" s="1">
        <v>-0.1</v>
      </c>
      <c r="E34" s="1">
        <v>-0.05</v>
      </c>
      <c r="F34" s="22">
        <f t="shared" si="0"/>
        <v>1.2086666666666666E-2</v>
      </c>
      <c r="G34" s="22">
        <f t="shared" si="1"/>
        <v>1.5810666666666671E-2</v>
      </c>
      <c r="H34" s="22"/>
      <c r="I34" s="22"/>
      <c r="J34" s="22"/>
      <c r="K34" s="34"/>
      <c r="L34" s="12"/>
    </row>
  </sheetData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4"/>
  <sheetViews>
    <sheetView workbookViewId="0">
      <selection activeCell="H7" sqref="H7"/>
    </sheetView>
  </sheetViews>
  <sheetFormatPr defaultRowHeight="15" x14ac:dyDescent="0.25"/>
  <cols>
    <col min="1" max="3" width="9.140625" style="9"/>
    <col min="4" max="4" width="13.5703125" style="9" customWidth="1"/>
    <col min="5" max="7" width="9.140625" style="9"/>
    <col min="8" max="8" width="16.85546875" style="9" customWidth="1"/>
    <col min="9" max="16384" width="9.140625" style="9"/>
  </cols>
  <sheetData>
    <row r="3" spans="3:4" ht="45" x14ac:dyDescent="0.25">
      <c r="C3" s="35" t="s">
        <v>59</v>
      </c>
      <c r="D3" s="36" t="s">
        <v>60</v>
      </c>
    </row>
    <row r="4" spans="3:4" x14ac:dyDescent="0.25">
      <c r="C4" s="37"/>
      <c r="D4" s="16"/>
    </row>
    <row r="5" spans="3:4" x14ac:dyDescent="0.25">
      <c r="C5" s="37">
        <v>2011</v>
      </c>
      <c r="D5" s="16">
        <v>0.45</v>
      </c>
    </row>
    <row r="6" spans="3:4" x14ac:dyDescent="0.25">
      <c r="C6" s="37">
        <f t="shared" ref="C6:C14" si="0">C5+1</f>
        <v>2012</v>
      </c>
      <c r="D6" s="16">
        <v>5.2281502043065448E-2</v>
      </c>
    </row>
    <row r="7" spans="3:4" x14ac:dyDescent="0.25">
      <c r="C7" s="37">
        <f t="shared" si="0"/>
        <v>2013</v>
      </c>
      <c r="D7" s="16">
        <v>-8.1370418767943584E-2</v>
      </c>
    </row>
    <row r="8" spans="3:4" x14ac:dyDescent="0.25">
      <c r="C8" s="37">
        <f t="shared" si="0"/>
        <v>2014</v>
      </c>
      <c r="D8" s="16">
        <v>0.52</v>
      </c>
    </row>
    <row r="9" spans="3:4" x14ac:dyDescent="0.25">
      <c r="C9" s="37">
        <f t="shared" si="0"/>
        <v>2015</v>
      </c>
      <c r="D9" s="16">
        <v>-0.46</v>
      </c>
    </row>
    <row r="10" spans="3:4" x14ac:dyDescent="0.25">
      <c r="C10" s="37">
        <f t="shared" si="0"/>
        <v>2016</v>
      </c>
      <c r="D10" s="16">
        <v>-8.9565898471113681E-3</v>
      </c>
    </row>
    <row r="11" spans="3:4" x14ac:dyDescent="0.25">
      <c r="C11" s="37">
        <f t="shared" si="0"/>
        <v>2017</v>
      </c>
      <c r="D11" s="16">
        <v>-0.37</v>
      </c>
    </row>
    <row r="12" spans="3:4" x14ac:dyDescent="0.25">
      <c r="C12" s="37">
        <f t="shared" si="0"/>
        <v>2018</v>
      </c>
      <c r="D12" s="16">
        <v>3.5010892362459169E-2</v>
      </c>
    </row>
    <row r="13" spans="3:4" x14ac:dyDescent="0.25">
      <c r="C13" s="37">
        <f t="shared" si="0"/>
        <v>2019</v>
      </c>
      <c r="D13" s="16">
        <v>0.13</v>
      </c>
    </row>
    <row r="14" spans="3:4" x14ac:dyDescent="0.25">
      <c r="C14" s="37">
        <f t="shared" si="0"/>
        <v>2020</v>
      </c>
      <c r="D14" s="16">
        <v>5.2957803040826278E-2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4"/>
  <sheetViews>
    <sheetView workbookViewId="0">
      <selection activeCell="E6" sqref="E6:E15"/>
    </sheetView>
  </sheetViews>
  <sheetFormatPr defaultRowHeight="15" x14ac:dyDescent="0.25"/>
  <cols>
    <col min="1" max="2" width="9.140625" style="9"/>
    <col min="3" max="3" width="35.28515625" style="9" customWidth="1"/>
    <col min="4" max="4" width="22.140625" style="9" customWidth="1"/>
    <col min="5" max="5" width="12" style="9" bestFit="1" customWidth="1"/>
    <col min="6" max="6" width="20.7109375" style="9" customWidth="1"/>
    <col min="7" max="7" width="21.7109375" style="9" customWidth="1"/>
    <col min="8" max="8" width="19.28515625" style="9" customWidth="1"/>
    <col min="9" max="16384" width="9.140625" style="9"/>
  </cols>
  <sheetData>
    <row r="2" spans="3:8" x14ac:dyDescent="0.25">
      <c r="C2" s="9" t="s">
        <v>61</v>
      </c>
      <c r="D2" s="8">
        <f>10*1000000</f>
        <v>10000000</v>
      </c>
    </row>
    <row r="4" spans="3:8" ht="45" x14ac:dyDescent="0.25">
      <c r="D4" s="9" t="str">
        <f>'Q2 Data'!C3</f>
        <v>Calendar Year ending</v>
      </c>
      <c r="E4" s="28" t="str">
        <f>'Q2 Data'!D3</f>
        <v>Total return</v>
      </c>
      <c r="F4" s="41" t="s">
        <v>74</v>
      </c>
      <c r="G4" s="41" t="s">
        <v>62</v>
      </c>
      <c r="H4" s="41" t="s">
        <v>75</v>
      </c>
    </row>
    <row r="5" spans="3:8" x14ac:dyDescent="0.25">
      <c r="D5" s="9" t="s">
        <v>73</v>
      </c>
      <c r="E5" s="33"/>
      <c r="F5" s="42">
        <f>D2*0.3</f>
        <v>3000000</v>
      </c>
      <c r="G5" s="42">
        <f>0.7*$D$2</f>
        <v>7000000</v>
      </c>
      <c r="H5" s="42">
        <f>F5+G5</f>
        <v>10000000</v>
      </c>
    </row>
    <row r="6" spans="3:8" x14ac:dyDescent="0.25">
      <c r="D6" s="9">
        <f>'Q2 Data'!C5+10</f>
        <v>2021</v>
      </c>
      <c r="E6" s="32">
        <f>'Q2 Data'!D5</f>
        <v>0.45</v>
      </c>
      <c r="F6" s="42">
        <f>(F5)*(1+0.03)</f>
        <v>3090000</v>
      </c>
      <c r="G6" s="42">
        <f>(G5)*(1+E6)</f>
        <v>10150000</v>
      </c>
      <c r="H6" s="42">
        <f t="shared" ref="H6:H15" si="0">F6+G6</f>
        <v>13240000</v>
      </c>
    </row>
    <row r="7" spans="3:8" x14ac:dyDescent="0.25">
      <c r="D7" s="9">
        <f>'Q2 Data'!C6+10</f>
        <v>2022</v>
      </c>
      <c r="E7" s="32">
        <f>'Q2 Data'!D6</f>
        <v>5.2281502043065448E-2</v>
      </c>
      <c r="F7" s="42">
        <f t="shared" ref="F7:F15" si="1">(F6)*(1+0.03)</f>
        <v>3182700</v>
      </c>
      <c r="G7" s="42">
        <f t="shared" ref="G7:G15" si="2">(G6)*(1+E7)</f>
        <v>10680657.245737113</v>
      </c>
      <c r="H7" s="42">
        <f t="shared" si="0"/>
        <v>13863357.245737113</v>
      </c>
    </row>
    <row r="8" spans="3:8" x14ac:dyDescent="0.25">
      <c r="D8" s="9">
        <f>'Q2 Data'!C7+10</f>
        <v>2023</v>
      </c>
      <c r="E8" s="32">
        <f>'Q2 Data'!D7</f>
        <v>-8.1370418767943584E-2</v>
      </c>
      <c r="F8" s="42">
        <f t="shared" si="1"/>
        <v>3278181</v>
      </c>
      <c r="G8" s="42">
        <f t="shared" si="2"/>
        <v>9811567.6929346137</v>
      </c>
      <c r="H8" s="42">
        <f t="shared" si="0"/>
        <v>13089748.692934614</v>
      </c>
    </row>
    <row r="9" spans="3:8" x14ac:dyDescent="0.25">
      <c r="D9" s="9">
        <f>'Q2 Data'!C8+10</f>
        <v>2024</v>
      </c>
      <c r="E9" s="32">
        <f>'Q2 Data'!D8</f>
        <v>0.52</v>
      </c>
      <c r="F9" s="42">
        <f t="shared" si="1"/>
        <v>3376526.43</v>
      </c>
      <c r="G9" s="42">
        <f t="shared" si="2"/>
        <v>14913582.893260613</v>
      </c>
      <c r="H9" s="42">
        <f t="shared" si="0"/>
        <v>18290109.323260613</v>
      </c>
    </row>
    <row r="10" spans="3:8" x14ac:dyDescent="0.25">
      <c r="D10" s="9">
        <f>'Q2 Data'!C9+10</f>
        <v>2025</v>
      </c>
      <c r="E10" s="32">
        <f>'Q2 Data'!D9</f>
        <v>-0.46</v>
      </c>
      <c r="F10" s="42">
        <f t="shared" si="1"/>
        <v>3477822.2229000004</v>
      </c>
      <c r="G10" s="42">
        <f t="shared" si="2"/>
        <v>8053334.7623607311</v>
      </c>
      <c r="H10" s="42">
        <f t="shared" si="0"/>
        <v>11531156.985260732</v>
      </c>
    </row>
    <row r="11" spans="3:8" x14ac:dyDescent="0.25">
      <c r="D11" s="9">
        <f>'Q2 Data'!C10+10</f>
        <v>2026</v>
      </c>
      <c r="E11" s="32">
        <f>'Q2 Data'!D10</f>
        <v>-8.9565898471113681E-3</v>
      </c>
      <c r="F11" s="42">
        <f t="shared" si="1"/>
        <v>3582156.8895870005</v>
      </c>
      <c r="G11" s="42">
        <f t="shared" si="2"/>
        <v>7981204.3459927822</v>
      </c>
      <c r="H11" s="42">
        <f t="shared" si="0"/>
        <v>11563361.235579783</v>
      </c>
    </row>
    <row r="12" spans="3:8" x14ac:dyDescent="0.25">
      <c r="D12" s="9">
        <f>'Q2 Data'!C11+10</f>
        <v>2027</v>
      </c>
      <c r="E12" s="32">
        <f>'Q2 Data'!D11</f>
        <v>-0.37</v>
      </c>
      <c r="F12" s="42">
        <f t="shared" si="1"/>
        <v>3689621.5962746106</v>
      </c>
      <c r="G12" s="42">
        <f t="shared" si="2"/>
        <v>5028158.737975453</v>
      </c>
      <c r="H12" s="42">
        <f t="shared" si="0"/>
        <v>8717780.3342500627</v>
      </c>
    </row>
    <row r="13" spans="3:8" x14ac:dyDescent="0.25">
      <c r="D13" s="9">
        <f>'Q2 Data'!C12+10</f>
        <v>2028</v>
      </c>
      <c r="E13" s="32">
        <f>'Q2 Data'!D12</f>
        <v>3.5010892362459169E-2</v>
      </c>
      <c r="F13" s="42">
        <f t="shared" si="1"/>
        <v>3800310.2441628492</v>
      </c>
      <c r="G13" s="42">
        <f t="shared" si="2"/>
        <v>5204199.0623320704</v>
      </c>
      <c r="H13" s="42">
        <f t="shared" si="0"/>
        <v>9004509.3064949196</v>
      </c>
    </row>
    <row r="14" spans="3:8" x14ac:dyDescent="0.25">
      <c r="D14" s="9">
        <f>'Q2 Data'!C13+10</f>
        <v>2029</v>
      </c>
      <c r="E14" s="32">
        <f>'Q2 Data'!D13</f>
        <v>0.13</v>
      </c>
      <c r="F14" s="42">
        <f t="shared" si="1"/>
        <v>3914319.5514877345</v>
      </c>
      <c r="G14" s="42">
        <f t="shared" si="2"/>
        <v>5880744.9404352391</v>
      </c>
      <c r="H14" s="42">
        <f t="shared" si="0"/>
        <v>9795064.4919229746</v>
      </c>
    </row>
    <row r="15" spans="3:8" x14ac:dyDescent="0.25">
      <c r="D15" s="9">
        <f>'Q2 Data'!C14+10</f>
        <v>2030</v>
      </c>
      <c r="E15" s="32">
        <f>'Q2 Data'!D14</f>
        <v>5.2957803040826278E-2</v>
      </c>
      <c r="F15" s="42">
        <f t="shared" si="1"/>
        <v>4031749.1380323665</v>
      </c>
      <c r="G15" s="42">
        <f t="shared" si="2"/>
        <v>6192176.2727241442</v>
      </c>
      <c r="H15" s="42">
        <f t="shared" si="0"/>
        <v>10223925.41075651</v>
      </c>
    </row>
    <row r="17" spans="4:8" x14ac:dyDescent="0.25">
      <c r="F17" s="9" t="s">
        <v>149</v>
      </c>
      <c r="G17" s="9" t="s">
        <v>149</v>
      </c>
      <c r="H17" s="9" t="s">
        <v>149</v>
      </c>
    </row>
    <row r="24" spans="4:8" x14ac:dyDescent="0.25">
      <c r="D24" s="38"/>
      <c r="H24" s="9" t="s">
        <v>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7"/>
  <sheetViews>
    <sheetView zoomScale="80" zoomScaleNormal="80" workbookViewId="0">
      <selection activeCell="E10" sqref="E10:E25"/>
    </sheetView>
  </sheetViews>
  <sheetFormatPr defaultRowHeight="15" x14ac:dyDescent="0.25"/>
  <cols>
    <col min="1" max="2" width="9.140625" style="9"/>
    <col min="3" max="3" width="19.7109375" style="9" bestFit="1" customWidth="1"/>
    <col min="4" max="4" width="15.5703125" style="9" customWidth="1"/>
    <col min="5" max="5" width="20" style="9" customWidth="1"/>
    <col min="6" max="6" width="13.85546875" style="9" bestFit="1" customWidth="1"/>
    <col min="7" max="7" width="11" style="9" bestFit="1" customWidth="1"/>
    <col min="8" max="11" width="20.7109375" style="9" customWidth="1"/>
    <col min="12" max="12" width="16" style="9" customWidth="1"/>
    <col min="13" max="16384" width="9.140625" style="9"/>
  </cols>
  <sheetData>
    <row r="1" spans="3:12" x14ac:dyDescent="0.25">
      <c r="C1" s="9" t="s">
        <v>63</v>
      </c>
      <c r="D1" s="77">
        <f>'Q2 (i)'!D2</f>
        <v>10000000</v>
      </c>
      <c r="E1" s="28"/>
      <c r="H1" s="9" t="s">
        <v>64</v>
      </c>
      <c r="I1" s="32">
        <v>0.08</v>
      </c>
    </row>
    <row r="2" spans="3:12" x14ac:dyDescent="0.25">
      <c r="C2" s="9" t="s">
        <v>65</v>
      </c>
      <c r="D2" s="8">
        <v>0.03</v>
      </c>
      <c r="E2" s="28"/>
      <c r="H2" s="9" t="s">
        <v>66</v>
      </c>
      <c r="I2" s="32">
        <v>0.45</v>
      </c>
    </row>
    <row r="3" spans="3:12" x14ac:dyDescent="0.25">
      <c r="C3" s="9" t="s">
        <v>67</v>
      </c>
      <c r="D3" s="8" t="s">
        <v>157</v>
      </c>
      <c r="E3" s="43"/>
    </row>
    <row r="4" spans="3:12" x14ac:dyDescent="0.25">
      <c r="D4" s="28"/>
      <c r="E4" s="28"/>
    </row>
    <row r="5" spans="3:12" x14ac:dyDescent="0.25">
      <c r="D5" s="28"/>
      <c r="E5" s="28"/>
      <c r="H5" s="9" t="s">
        <v>161</v>
      </c>
    </row>
    <row r="6" spans="3:12" x14ac:dyDescent="0.25">
      <c r="C6" s="9" t="s">
        <v>68</v>
      </c>
      <c r="D6" s="44">
        <v>5000000</v>
      </c>
      <c r="E6" s="28"/>
    </row>
    <row r="8" spans="3:12" x14ac:dyDescent="0.25">
      <c r="H8" s="91" t="s">
        <v>77</v>
      </c>
      <c r="I8" s="91"/>
      <c r="J8" s="91"/>
      <c r="K8" s="91"/>
    </row>
    <row r="9" spans="3:12" ht="30" x14ac:dyDescent="0.25">
      <c r="C9" s="39" t="str">
        <f>'Q2 (i)'!D4</f>
        <v>Calendar Year ending</v>
      </c>
      <c r="D9" s="39" t="s">
        <v>69</v>
      </c>
      <c r="E9" s="39" t="s">
        <v>70</v>
      </c>
      <c r="F9" s="39" t="s">
        <v>71</v>
      </c>
      <c r="G9" s="39" t="s">
        <v>76</v>
      </c>
      <c r="H9" s="51" t="s">
        <v>158</v>
      </c>
      <c r="I9" s="51" t="s">
        <v>159</v>
      </c>
      <c r="J9" s="51" t="s">
        <v>160</v>
      </c>
      <c r="K9" s="52"/>
      <c r="L9" s="39" t="s">
        <v>72</v>
      </c>
    </row>
    <row r="10" spans="3:12" x14ac:dyDescent="0.25">
      <c r="C10" s="37">
        <v>2020</v>
      </c>
      <c r="D10" s="45">
        <v>0</v>
      </c>
      <c r="E10" s="46">
        <f>$D$1*0.3</f>
        <v>3000000</v>
      </c>
      <c r="F10" s="73">
        <f>D10*$I$1</f>
        <v>0</v>
      </c>
      <c r="G10" s="45">
        <f>$I$2*D10</f>
        <v>0</v>
      </c>
      <c r="H10" s="45"/>
      <c r="I10" s="45"/>
      <c r="J10" s="45"/>
      <c r="K10" s="45"/>
      <c r="L10" s="45"/>
    </row>
    <row r="11" spans="3:12" x14ac:dyDescent="0.25">
      <c r="C11" s="37">
        <f>2021</f>
        <v>2021</v>
      </c>
      <c r="D11" s="45">
        <f>D10+1</f>
        <v>1</v>
      </c>
      <c r="E11" s="46">
        <f>E10*(1+$D$2)</f>
        <v>3090000</v>
      </c>
      <c r="F11" s="73">
        <f t="shared" ref="F11:F25" si="0">D11*$I$1</f>
        <v>0.08</v>
      </c>
      <c r="G11" s="45">
        <f t="shared" ref="G11:G25" si="1">$I$2*D11</f>
        <v>0.45</v>
      </c>
      <c r="H11" s="47">
        <f>D6</f>
        <v>5000000</v>
      </c>
      <c r="I11" s="75">
        <f>(H11-E11)/(0.7*$D$1)-1</f>
        <v>-0.72714285714285709</v>
      </c>
      <c r="J11" s="76">
        <f>(I11-F11)/SQRT(G11)</f>
        <v>-1.2032175307498867</v>
      </c>
      <c r="K11" s="45"/>
      <c r="L11" s="49">
        <f>NORMSDIST(J11)</f>
        <v>0.11444607632980291</v>
      </c>
    </row>
    <row r="12" spans="3:12" x14ac:dyDescent="0.25">
      <c r="C12" s="37">
        <f>C11+1</f>
        <v>2022</v>
      </c>
      <c r="D12" s="45">
        <f t="shared" ref="D12:D25" si="2">D11+1</f>
        <v>2</v>
      </c>
      <c r="E12" s="46">
        <f t="shared" ref="E12:E25" si="3">E11*(1+$D$2)</f>
        <v>3182700</v>
      </c>
      <c r="F12" s="73">
        <f t="shared" si="0"/>
        <v>0.16</v>
      </c>
      <c r="G12" s="45">
        <f t="shared" si="1"/>
        <v>0.9</v>
      </c>
      <c r="H12" s="74">
        <f>H11*1.08</f>
        <v>5400000</v>
      </c>
      <c r="I12" s="75">
        <f t="shared" ref="I12:I25" si="4">(H12-E12)/(0.7*$D$1)-1</f>
        <v>-0.68324285714285715</v>
      </c>
      <c r="J12" s="76">
        <f t="shared" ref="J12:J25" si="5">(I12-F12)/SQRT(G12)</f>
        <v>-0.88885601641313783</v>
      </c>
      <c r="K12" s="45"/>
      <c r="L12" s="49">
        <f t="shared" ref="L12:L25" si="6">NORMSDIST(J12)</f>
        <v>0.18704023311770843</v>
      </c>
    </row>
    <row r="13" spans="3:12" x14ac:dyDescent="0.25">
      <c r="C13" s="37">
        <f t="shared" ref="C13:C25" si="7">C12+1</f>
        <v>2023</v>
      </c>
      <c r="D13" s="45">
        <f t="shared" si="2"/>
        <v>3</v>
      </c>
      <c r="E13" s="46">
        <f t="shared" si="3"/>
        <v>3278181</v>
      </c>
      <c r="F13" s="73">
        <f t="shared" si="0"/>
        <v>0.24</v>
      </c>
      <c r="G13" s="45">
        <f t="shared" si="1"/>
        <v>1.35</v>
      </c>
      <c r="H13" s="74">
        <f t="shared" ref="H13:H25" si="8">H12*1.08</f>
        <v>5832000</v>
      </c>
      <c r="I13" s="75">
        <f t="shared" si="4"/>
        <v>-0.63516871428571431</v>
      </c>
      <c r="J13" s="76">
        <f t="shared" si="5"/>
        <v>-0.75322530123340636</v>
      </c>
      <c r="K13" s="45"/>
      <c r="L13" s="49">
        <f t="shared" si="6"/>
        <v>0.2256572689057382</v>
      </c>
    </row>
    <row r="14" spans="3:12" x14ac:dyDescent="0.25">
      <c r="C14" s="37">
        <f t="shared" si="7"/>
        <v>2024</v>
      </c>
      <c r="D14" s="45">
        <f t="shared" si="2"/>
        <v>4</v>
      </c>
      <c r="E14" s="46">
        <f t="shared" si="3"/>
        <v>3376526.43</v>
      </c>
      <c r="F14" s="73">
        <f t="shared" si="0"/>
        <v>0.32</v>
      </c>
      <c r="G14" s="45">
        <f t="shared" si="1"/>
        <v>1.8</v>
      </c>
      <c r="H14" s="74">
        <f t="shared" si="8"/>
        <v>6298560</v>
      </c>
      <c r="I14" s="75">
        <f t="shared" si="4"/>
        <v>-0.58256663285714283</v>
      </c>
      <c r="J14" s="76">
        <f t="shared" si="5"/>
        <v>-0.6727334484305556</v>
      </c>
      <c r="K14" s="45"/>
      <c r="L14" s="49">
        <f t="shared" si="6"/>
        <v>0.25055844197061772</v>
      </c>
    </row>
    <row r="15" spans="3:12" x14ac:dyDescent="0.25">
      <c r="C15" s="37">
        <f t="shared" si="7"/>
        <v>2025</v>
      </c>
      <c r="D15" s="45">
        <f t="shared" si="2"/>
        <v>5</v>
      </c>
      <c r="E15" s="46">
        <f t="shared" si="3"/>
        <v>3477822.2229000004</v>
      </c>
      <c r="F15" s="73">
        <f t="shared" si="0"/>
        <v>0.4</v>
      </c>
      <c r="G15" s="45">
        <f t="shared" si="1"/>
        <v>2.25</v>
      </c>
      <c r="H15" s="74">
        <f t="shared" si="8"/>
        <v>6802444.8000000007</v>
      </c>
      <c r="I15" s="75">
        <f t="shared" si="4"/>
        <v>-0.52505391755714281</v>
      </c>
      <c r="J15" s="76">
        <f t="shared" si="5"/>
        <v>-0.61670261170476193</v>
      </c>
      <c r="K15" s="45"/>
      <c r="L15" s="49">
        <f t="shared" si="6"/>
        <v>0.2687154491285324</v>
      </c>
    </row>
    <row r="16" spans="3:12" x14ac:dyDescent="0.25">
      <c r="C16" s="37">
        <f t="shared" si="7"/>
        <v>2026</v>
      </c>
      <c r="D16" s="45">
        <f t="shared" si="2"/>
        <v>6</v>
      </c>
      <c r="E16" s="46">
        <f t="shared" si="3"/>
        <v>3582156.8895870005</v>
      </c>
      <c r="F16" s="73">
        <f t="shared" si="0"/>
        <v>0.48</v>
      </c>
      <c r="G16" s="45">
        <f t="shared" si="1"/>
        <v>2.7</v>
      </c>
      <c r="H16" s="74">
        <f t="shared" si="8"/>
        <v>7346640.3840000015</v>
      </c>
      <c r="I16" s="75">
        <f t="shared" si="4"/>
        <v>-0.46221664365528559</v>
      </c>
      <c r="J16" s="76">
        <f t="shared" si="5"/>
        <v>-0.57341478865200746</v>
      </c>
      <c r="K16" s="45"/>
      <c r="L16" s="49">
        <f t="shared" si="6"/>
        <v>0.28318193972596767</v>
      </c>
    </row>
    <row r="17" spans="3:12" x14ac:dyDescent="0.25">
      <c r="C17" s="37">
        <f t="shared" si="7"/>
        <v>2027</v>
      </c>
      <c r="D17" s="45">
        <f t="shared" si="2"/>
        <v>7</v>
      </c>
      <c r="E17" s="46">
        <f t="shared" si="3"/>
        <v>3689621.5962746106</v>
      </c>
      <c r="F17" s="73">
        <f t="shared" si="0"/>
        <v>0.56000000000000005</v>
      </c>
      <c r="G17" s="45">
        <f t="shared" si="1"/>
        <v>3.15</v>
      </c>
      <c r="H17" s="74">
        <f t="shared" si="8"/>
        <v>7934371.6147200018</v>
      </c>
      <c r="I17" s="75">
        <f t="shared" si="4"/>
        <v>-0.39360714022208698</v>
      </c>
      <c r="J17" s="76">
        <f t="shared" si="5"/>
        <v>-0.53729675459879334</v>
      </c>
      <c r="K17" s="45"/>
      <c r="L17" s="49">
        <f t="shared" si="6"/>
        <v>0.29553132342486377</v>
      </c>
    </row>
    <row r="18" spans="3:12" x14ac:dyDescent="0.25">
      <c r="C18" s="37">
        <f t="shared" si="7"/>
        <v>2028</v>
      </c>
      <c r="D18" s="45">
        <f t="shared" si="2"/>
        <v>8</v>
      </c>
      <c r="E18" s="46">
        <f t="shared" si="3"/>
        <v>3800310.2441628492</v>
      </c>
      <c r="F18" s="73">
        <f t="shared" si="0"/>
        <v>0.64</v>
      </c>
      <c r="G18" s="45">
        <f t="shared" si="1"/>
        <v>3.6</v>
      </c>
      <c r="H18" s="74">
        <f t="shared" si="8"/>
        <v>8569121.3438976035</v>
      </c>
      <c r="I18" s="75">
        <f t="shared" si="4"/>
        <v>-0.31874127146646369</v>
      </c>
      <c r="J18" s="76">
        <f t="shared" si="5"/>
        <v>-0.50530101743997102</v>
      </c>
      <c r="K18" s="45"/>
      <c r="L18" s="49">
        <f t="shared" si="6"/>
        <v>0.30667371415652361</v>
      </c>
    </row>
    <row r="19" spans="3:12" x14ac:dyDescent="0.25">
      <c r="C19" s="37">
        <f t="shared" si="7"/>
        <v>2029</v>
      </c>
      <c r="D19" s="45">
        <f t="shared" si="2"/>
        <v>9</v>
      </c>
      <c r="E19" s="46">
        <f t="shared" si="3"/>
        <v>3914319.5514877345</v>
      </c>
      <c r="F19" s="73">
        <f t="shared" si="0"/>
        <v>0.72</v>
      </c>
      <c r="G19" s="45">
        <f t="shared" si="1"/>
        <v>4.05</v>
      </c>
      <c r="H19" s="74">
        <f t="shared" si="8"/>
        <v>9254651.0514094122</v>
      </c>
      <c r="I19" s="75">
        <f t="shared" si="4"/>
        <v>-0.23709550001118895</v>
      </c>
      <c r="J19" s="76">
        <f t="shared" si="5"/>
        <v>-0.47558457755203759</v>
      </c>
      <c r="K19" s="45"/>
      <c r="L19" s="49">
        <f t="shared" si="6"/>
        <v>0.31718518243757265</v>
      </c>
    </row>
    <row r="20" spans="3:12" x14ac:dyDescent="0.25">
      <c r="C20" s="37">
        <f t="shared" si="7"/>
        <v>2030</v>
      </c>
      <c r="D20" s="45">
        <f t="shared" si="2"/>
        <v>10</v>
      </c>
      <c r="E20" s="46">
        <f t="shared" si="3"/>
        <v>4031749.1380323665</v>
      </c>
      <c r="F20" s="73">
        <f t="shared" si="0"/>
        <v>0.8</v>
      </c>
      <c r="G20" s="45">
        <f t="shared" si="1"/>
        <v>4.5</v>
      </c>
      <c r="H20" s="74">
        <f t="shared" si="8"/>
        <v>9995023.1355221663</v>
      </c>
      <c r="I20" s="75">
        <f t="shared" si="4"/>
        <v>-0.14810371464431438</v>
      </c>
      <c r="J20" s="76">
        <f t="shared" si="5"/>
        <v>-0.44694037726210012</v>
      </c>
      <c r="K20" s="45"/>
      <c r="L20" s="49">
        <f t="shared" si="6"/>
        <v>0.32745905478024229</v>
      </c>
    </row>
    <row r="21" spans="3:12" x14ac:dyDescent="0.25">
      <c r="C21" s="37">
        <f t="shared" si="7"/>
        <v>2031</v>
      </c>
      <c r="D21" s="45">
        <f t="shared" si="2"/>
        <v>11</v>
      </c>
      <c r="E21" s="46">
        <f t="shared" si="3"/>
        <v>4152701.6121733375</v>
      </c>
      <c r="F21" s="73">
        <f t="shared" si="0"/>
        <v>0.88</v>
      </c>
      <c r="G21" s="45">
        <f t="shared" si="1"/>
        <v>4.95</v>
      </c>
      <c r="H21" s="74">
        <f t="shared" si="8"/>
        <v>10794624.98636394</v>
      </c>
      <c r="I21" s="75">
        <f t="shared" si="4"/>
        <v>-5.1153803687056798E-2</v>
      </c>
      <c r="J21" s="76">
        <f t="shared" si="5"/>
        <v>-0.41852251091862558</v>
      </c>
      <c r="K21" s="45"/>
      <c r="L21" s="49">
        <f t="shared" si="6"/>
        <v>0.33778256574245558</v>
      </c>
    </row>
    <row r="22" spans="3:12" x14ac:dyDescent="0.25">
      <c r="C22" s="37">
        <f t="shared" si="7"/>
        <v>2032</v>
      </c>
      <c r="D22" s="45">
        <f t="shared" si="2"/>
        <v>12</v>
      </c>
      <c r="E22" s="46">
        <f t="shared" si="3"/>
        <v>4277282.6605385374</v>
      </c>
      <c r="F22" s="73">
        <f t="shared" si="0"/>
        <v>0.96</v>
      </c>
      <c r="G22" s="45">
        <f t="shared" si="1"/>
        <v>5.4</v>
      </c>
      <c r="H22" s="74">
        <f t="shared" si="8"/>
        <v>11658194.985273056</v>
      </c>
      <c r="I22" s="75">
        <f t="shared" si="4"/>
        <v>5.4416046390645567E-2</v>
      </c>
      <c r="J22" s="76">
        <f t="shared" si="5"/>
        <v>-0.38970128565796658</v>
      </c>
      <c r="K22" s="45"/>
      <c r="L22" s="49">
        <f t="shared" si="6"/>
        <v>0.34837872285774052</v>
      </c>
    </row>
    <row r="23" spans="3:12" x14ac:dyDescent="0.25">
      <c r="C23" s="37">
        <f t="shared" si="7"/>
        <v>2033</v>
      </c>
      <c r="D23" s="45">
        <f t="shared" si="2"/>
        <v>13</v>
      </c>
      <c r="E23" s="46">
        <f t="shared" si="3"/>
        <v>4405601.1403546939</v>
      </c>
      <c r="F23" s="73">
        <f t="shared" si="0"/>
        <v>1.04</v>
      </c>
      <c r="G23" s="45">
        <f t="shared" si="1"/>
        <v>5.8500000000000005</v>
      </c>
      <c r="H23" s="74">
        <f t="shared" si="8"/>
        <v>12590850.584094901</v>
      </c>
      <c r="I23" s="75">
        <f t="shared" si="4"/>
        <v>0.16932134910574392</v>
      </c>
      <c r="J23" s="76">
        <f t="shared" si="5"/>
        <v>-0.35998131792053045</v>
      </c>
      <c r="K23" s="45"/>
      <c r="L23" s="49">
        <f t="shared" si="6"/>
        <v>0.35943055223314291</v>
      </c>
    </row>
    <row r="24" spans="3:12" x14ac:dyDescent="0.25">
      <c r="C24" s="37">
        <f t="shared" si="7"/>
        <v>2034</v>
      </c>
      <c r="D24" s="45">
        <f t="shared" si="2"/>
        <v>14</v>
      </c>
      <c r="E24" s="46">
        <f t="shared" si="3"/>
        <v>4537769.1745653348</v>
      </c>
      <c r="F24" s="73">
        <f t="shared" si="0"/>
        <v>1.1200000000000001</v>
      </c>
      <c r="G24" s="45">
        <f t="shared" si="1"/>
        <v>6.3</v>
      </c>
      <c r="H24" s="74">
        <f t="shared" si="8"/>
        <v>13598118.630822493</v>
      </c>
      <c r="I24" s="75">
        <f t="shared" si="4"/>
        <v>0.29433563660816531</v>
      </c>
      <c r="J24" s="76">
        <f t="shared" si="5"/>
        <v>-0.32895255627793002</v>
      </c>
      <c r="K24" s="45"/>
      <c r="L24" s="49">
        <f t="shared" si="6"/>
        <v>0.37109577433410956</v>
      </c>
    </row>
    <row r="25" spans="3:12" x14ac:dyDescent="0.25">
      <c r="C25" s="37">
        <f t="shared" si="7"/>
        <v>2035</v>
      </c>
      <c r="D25" s="45">
        <f t="shared" si="2"/>
        <v>15</v>
      </c>
      <c r="E25" s="46">
        <f t="shared" si="3"/>
        <v>4673902.2498022951</v>
      </c>
      <c r="F25" s="73">
        <f t="shared" si="0"/>
        <v>1.2</v>
      </c>
      <c r="G25" s="45">
        <f t="shared" si="1"/>
        <v>6.75</v>
      </c>
      <c r="H25" s="74">
        <f t="shared" si="8"/>
        <v>14685968.121288294</v>
      </c>
      <c r="I25" s="75">
        <f t="shared" si="4"/>
        <v>0.43029512449799978</v>
      </c>
      <c r="J25" s="76">
        <f t="shared" si="5"/>
        <v>-0.2962595447117648</v>
      </c>
      <c r="K25" s="45"/>
      <c r="L25" s="49">
        <f t="shared" si="6"/>
        <v>0.38351593925228888</v>
      </c>
    </row>
    <row r="27" spans="3:12" x14ac:dyDescent="0.25">
      <c r="E27" s="9" t="s">
        <v>149</v>
      </c>
      <c r="F27" s="9" t="s">
        <v>144</v>
      </c>
      <c r="G27" s="9" t="s">
        <v>144</v>
      </c>
      <c r="H27" s="9" t="s">
        <v>143</v>
      </c>
      <c r="I27" s="9" t="s">
        <v>155</v>
      </c>
      <c r="J27" s="9" t="s">
        <v>155</v>
      </c>
      <c r="L27" s="9" t="s">
        <v>143</v>
      </c>
    </row>
  </sheetData>
  <mergeCells count="1">
    <mergeCell ref="H8:K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27"/>
  <sheetViews>
    <sheetView topLeftCell="C1" zoomScale="70" zoomScaleNormal="70" workbookViewId="0">
      <selection activeCell="K21" sqref="K21"/>
    </sheetView>
  </sheetViews>
  <sheetFormatPr defaultRowHeight="15" x14ac:dyDescent="0.25"/>
  <cols>
    <col min="1" max="2" width="9.140625" style="9"/>
    <col min="3" max="3" width="19.7109375" style="9" bestFit="1" customWidth="1"/>
    <col min="4" max="4" width="13.42578125" style="9" bestFit="1" customWidth="1"/>
    <col min="5" max="5" width="20" style="9" customWidth="1"/>
    <col min="6" max="6" width="9.28515625" style="9" customWidth="1"/>
    <col min="7" max="7" width="11" style="9" bestFit="1" customWidth="1"/>
    <col min="8" max="11" width="20.7109375" style="9" customWidth="1"/>
    <col min="12" max="12" width="16" style="9" customWidth="1"/>
    <col min="13" max="14" width="9.140625" style="9"/>
    <col min="15" max="15" width="64.85546875" style="9" customWidth="1"/>
    <col min="16" max="16384" width="9.140625" style="9"/>
  </cols>
  <sheetData>
    <row r="1" spans="3:15" x14ac:dyDescent="0.25">
      <c r="C1" s="9" t="s">
        <v>63</v>
      </c>
      <c r="D1" s="77">
        <v>15000000</v>
      </c>
      <c r="E1" s="28"/>
      <c r="H1" s="9" t="s">
        <v>64</v>
      </c>
      <c r="I1" s="32">
        <v>0.08</v>
      </c>
      <c r="O1" s="9" t="s">
        <v>78</v>
      </c>
    </row>
    <row r="2" spans="3:15" x14ac:dyDescent="0.25">
      <c r="C2" s="9" t="s">
        <v>65</v>
      </c>
      <c r="D2" s="8">
        <v>0.03</v>
      </c>
      <c r="E2" s="28"/>
      <c r="H2" s="9" t="s">
        <v>66</v>
      </c>
      <c r="I2" s="32">
        <v>0.45</v>
      </c>
    </row>
    <row r="3" spans="3:15" x14ac:dyDescent="0.25">
      <c r="C3" s="9" t="s">
        <v>67</v>
      </c>
      <c r="D3" s="8" t="s">
        <v>157</v>
      </c>
      <c r="E3" s="43"/>
      <c r="O3" s="8"/>
    </row>
    <row r="4" spans="3:15" x14ac:dyDescent="0.25">
      <c r="D4" s="28"/>
      <c r="E4" s="28"/>
      <c r="O4" s="8"/>
    </row>
    <row r="5" spans="3:15" x14ac:dyDescent="0.25">
      <c r="D5" s="28"/>
      <c r="E5" s="28"/>
      <c r="O5" s="8"/>
    </row>
    <row r="6" spans="3:15" x14ac:dyDescent="0.25">
      <c r="C6" s="9" t="s">
        <v>68</v>
      </c>
      <c r="D6" s="44">
        <v>5000000</v>
      </c>
      <c r="E6" s="28"/>
      <c r="O6" s="8"/>
    </row>
    <row r="7" spans="3:15" x14ac:dyDescent="0.25">
      <c r="O7" s="8"/>
    </row>
    <row r="8" spans="3:15" x14ac:dyDescent="0.25">
      <c r="H8" s="91" t="s">
        <v>77</v>
      </c>
      <c r="I8" s="91"/>
      <c r="J8" s="91"/>
      <c r="K8" s="91"/>
      <c r="O8" s="8"/>
    </row>
    <row r="9" spans="3:15" ht="30" x14ac:dyDescent="0.25">
      <c r="C9" s="39" t="str">
        <f>'Q2 (i)'!D4</f>
        <v>Calendar Year ending</v>
      </c>
      <c r="D9" s="39" t="s">
        <v>69</v>
      </c>
      <c r="E9" s="39" t="s">
        <v>70</v>
      </c>
      <c r="F9" s="39" t="s">
        <v>71</v>
      </c>
      <c r="G9" s="39" t="s">
        <v>76</v>
      </c>
      <c r="H9" s="51" t="s">
        <v>158</v>
      </c>
      <c r="I9" s="51" t="s">
        <v>159</v>
      </c>
      <c r="J9" s="51" t="s">
        <v>160</v>
      </c>
      <c r="K9" s="52"/>
      <c r="L9" s="39" t="s">
        <v>72</v>
      </c>
      <c r="O9" s="8"/>
    </row>
    <row r="10" spans="3:15" x14ac:dyDescent="0.25">
      <c r="C10" s="37">
        <v>2020</v>
      </c>
      <c r="D10" s="45">
        <v>0</v>
      </c>
      <c r="E10" s="46">
        <f>$D$1*0.3</f>
        <v>4500000</v>
      </c>
      <c r="F10" s="73">
        <f>D10*$I$1</f>
        <v>0</v>
      </c>
      <c r="G10" s="45">
        <f>$I$2*D10</f>
        <v>0</v>
      </c>
      <c r="H10" s="45"/>
      <c r="I10" s="45"/>
      <c r="J10" s="45"/>
      <c r="K10" s="45"/>
      <c r="L10" s="45"/>
      <c r="O10" s="8"/>
    </row>
    <row r="11" spans="3:15" x14ac:dyDescent="0.25">
      <c r="C11" s="37">
        <f>2021</f>
        <v>2021</v>
      </c>
      <c r="D11" s="45">
        <f>D10+1</f>
        <v>1</v>
      </c>
      <c r="E11" s="46">
        <f>E10*(1+$D$2)</f>
        <v>4635000</v>
      </c>
      <c r="F11" s="73">
        <f t="shared" ref="F11:F25" si="0">D11*$I$1</f>
        <v>0.08</v>
      </c>
      <c r="G11" s="45">
        <f t="shared" ref="G11:G25" si="1">$I$2*D11</f>
        <v>0.45</v>
      </c>
      <c r="H11" s="47">
        <f>D6</f>
        <v>5000000</v>
      </c>
      <c r="I11" s="75">
        <f>(H11-E11)/(0.7*$D$1)-1</f>
        <v>-0.96523809523809523</v>
      </c>
      <c r="J11" s="76">
        <f>(I11-F11)/SQRT(G11)</f>
        <v>-1.5581489557498536</v>
      </c>
      <c r="K11" s="45"/>
      <c r="L11" s="49">
        <f>NORMSDIST(J11)</f>
        <v>5.9598970938429092E-2</v>
      </c>
      <c r="O11" s="8"/>
    </row>
    <row r="12" spans="3:15" x14ac:dyDescent="0.25">
      <c r="C12" s="37">
        <f>C11+1</f>
        <v>2022</v>
      </c>
      <c r="D12" s="45">
        <f t="shared" ref="D12:D25" si="2">D11+1</f>
        <v>2</v>
      </c>
      <c r="E12" s="46">
        <f t="shared" ref="E12:E25" si="3">E11*(1+$D$2)</f>
        <v>4774050</v>
      </c>
      <c r="F12" s="73">
        <f t="shared" si="0"/>
        <v>0.16</v>
      </c>
      <c r="G12" s="45">
        <f t="shared" si="1"/>
        <v>0.9</v>
      </c>
      <c r="H12" s="74">
        <f>H11*1.08</f>
        <v>5400000</v>
      </c>
      <c r="I12" s="75">
        <f t="shared" ref="I12:I25" si="4">(H12-E12)/(0.7*$D$1)-1</f>
        <v>-0.94038571428571427</v>
      </c>
      <c r="J12" s="76">
        <f t="shared" ref="J12:J25" si="5">(I12-F12)/SQRT(G12)</f>
        <v>-1.1599083872847131</v>
      </c>
      <c r="K12" s="45"/>
      <c r="L12" s="49">
        <f t="shared" ref="L12:L25" si="6">NORMSDIST(J12)</f>
        <v>0.12304305376994867</v>
      </c>
      <c r="O12" s="8"/>
    </row>
    <row r="13" spans="3:15" x14ac:dyDescent="0.25">
      <c r="C13" s="37">
        <f t="shared" ref="C13:C25" si="7">C12+1</f>
        <v>2023</v>
      </c>
      <c r="D13" s="45">
        <f t="shared" si="2"/>
        <v>3</v>
      </c>
      <c r="E13" s="46">
        <f t="shared" si="3"/>
        <v>4917271.5</v>
      </c>
      <c r="F13" s="73">
        <f t="shared" si="0"/>
        <v>0.24</v>
      </c>
      <c r="G13" s="45">
        <f t="shared" si="1"/>
        <v>1.35</v>
      </c>
      <c r="H13" s="74">
        <f t="shared" ref="H13:H25" si="8">H12*1.08</f>
        <v>5832000</v>
      </c>
      <c r="I13" s="75">
        <f t="shared" si="4"/>
        <v>-0.912883</v>
      </c>
      <c r="J13" s="76">
        <f t="shared" si="5"/>
        <v>-0.99224370202792123</v>
      </c>
      <c r="K13" s="45"/>
      <c r="L13" s="49">
        <f t="shared" si="6"/>
        <v>0.16053932939679247</v>
      </c>
      <c r="O13" s="8"/>
    </row>
    <row r="14" spans="3:15" x14ac:dyDescent="0.25">
      <c r="C14" s="37">
        <f t="shared" si="7"/>
        <v>2024</v>
      </c>
      <c r="D14" s="45">
        <f t="shared" si="2"/>
        <v>4</v>
      </c>
      <c r="E14" s="46">
        <f t="shared" si="3"/>
        <v>5064789.6450000005</v>
      </c>
      <c r="F14" s="73">
        <f t="shared" si="0"/>
        <v>0.32</v>
      </c>
      <c r="G14" s="45">
        <f t="shared" si="1"/>
        <v>1.8</v>
      </c>
      <c r="H14" s="74">
        <f t="shared" si="8"/>
        <v>6298560</v>
      </c>
      <c r="I14" s="75">
        <f t="shared" si="4"/>
        <v>-0.88249806142857146</v>
      </c>
      <c r="J14" s="76">
        <f t="shared" si="5"/>
        <v>-0.89628913605533445</v>
      </c>
      <c r="K14" s="45"/>
      <c r="L14" s="49">
        <f t="shared" si="6"/>
        <v>0.18504917993055914</v>
      </c>
      <c r="O14" s="8"/>
    </row>
    <row r="15" spans="3:15" x14ac:dyDescent="0.25">
      <c r="C15" s="37">
        <f t="shared" si="7"/>
        <v>2025</v>
      </c>
      <c r="D15" s="45">
        <f t="shared" si="2"/>
        <v>5</v>
      </c>
      <c r="E15" s="46">
        <f t="shared" si="3"/>
        <v>5216733.3343500011</v>
      </c>
      <c r="F15" s="73">
        <f t="shared" si="0"/>
        <v>0.4</v>
      </c>
      <c r="G15" s="45">
        <f t="shared" si="1"/>
        <v>2.25</v>
      </c>
      <c r="H15" s="74">
        <f t="shared" si="8"/>
        <v>6802444.8000000007</v>
      </c>
      <c r="I15" s="75">
        <f t="shared" si="4"/>
        <v>-0.84897986041428575</v>
      </c>
      <c r="J15" s="76">
        <f t="shared" si="5"/>
        <v>-0.83265324027619059</v>
      </c>
      <c r="K15" s="45"/>
      <c r="L15" s="49">
        <f t="shared" si="6"/>
        <v>0.20252016159820299</v>
      </c>
    </row>
    <row r="16" spans="3:15" x14ac:dyDescent="0.25">
      <c r="C16" s="37">
        <f t="shared" si="7"/>
        <v>2026</v>
      </c>
      <c r="D16" s="45">
        <f t="shared" si="2"/>
        <v>6</v>
      </c>
      <c r="E16" s="46">
        <f t="shared" si="3"/>
        <v>5373235.3343805009</v>
      </c>
      <c r="F16" s="73">
        <f t="shared" si="0"/>
        <v>0.48</v>
      </c>
      <c r="G16" s="45">
        <f t="shared" si="1"/>
        <v>2.7</v>
      </c>
      <c r="H16" s="74">
        <f t="shared" si="8"/>
        <v>7346640.3840000015</v>
      </c>
      <c r="I16" s="75">
        <f t="shared" si="4"/>
        <v>-0.8120566619409999</v>
      </c>
      <c r="J16" s="76">
        <f t="shared" si="5"/>
        <v>-0.7863206436887914</v>
      </c>
      <c r="K16" s="45"/>
      <c r="L16" s="49">
        <f t="shared" si="6"/>
        <v>0.21583983065158011</v>
      </c>
    </row>
    <row r="17" spans="3:16" x14ac:dyDescent="0.25">
      <c r="C17" s="37">
        <f t="shared" si="7"/>
        <v>2027</v>
      </c>
      <c r="D17" s="45">
        <f t="shared" si="2"/>
        <v>7</v>
      </c>
      <c r="E17" s="46">
        <f t="shared" si="3"/>
        <v>5534432.3944119159</v>
      </c>
      <c r="F17" s="73">
        <f t="shared" si="0"/>
        <v>0.56000000000000005</v>
      </c>
      <c r="G17" s="45">
        <f t="shared" si="1"/>
        <v>3.15</v>
      </c>
      <c r="H17" s="74">
        <f t="shared" si="8"/>
        <v>7934371.6147200018</v>
      </c>
      <c r="I17" s="75">
        <f t="shared" si="4"/>
        <v>-0.77143435997065846</v>
      </c>
      <c r="J17" s="76">
        <f t="shared" si="5"/>
        <v>-0.75017827614729415</v>
      </c>
      <c r="K17" s="45"/>
      <c r="L17" s="49">
        <f t="shared" si="6"/>
        <v>0.22657367034485665</v>
      </c>
    </row>
    <row r="18" spans="3:16" x14ac:dyDescent="0.25">
      <c r="C18" s="37">
        <f t="shared" si="7"/>
        <v>2028</v>
      </c>
      <c r="D18" s="45">
        <f t="shared" si="2"/>
        <v>8</v>
      </c>
      <c r="E18" s="46">
        <f t="shared" si="3"/>
        <v>5700465.3662442733</v>
      </c>
      <c r="F18" s="73">
        <f t="shared" si="0"/>
        <v>0.64</v>
      </c>
      <c r="G18" s="45">
        <f t="shared" si="1"/>
        <v>3.6</v>
      </c>
      <c r="H18" s="74">
        <f t="shared" si="8"/>
        <v>8569121.3438976035</v>
      </c>
      <c r="I18" s="75">
        <f t="shared" si="4"/>
        <v>-0.72679466879492094</v>
      </c>
      <c r="J18" s="76">
        <f t="shared" si="5"/>
        <v>-0.72036404119456954</v>
      </c>
      <c r="K18" s="45"/>
      <c r="L18" s="49">
        <f t="shared" si="6"/>
        <v>0.2356504419272174</v>
      </c>
      <c r="O18" s="9" t="s">
        <v>163</v>
      </c>
    </row>
    <row r="19" spans="3:16" x14ac:dyDescent="0.25">
      <c r="C19" s="37">
        <f t="shared" si="7"/>
        <v>2029</v>
      </c>
      <c r="D19" s="45">
        <f t="shared" si="2"/>
        <v>9</v>
      </c>
      <c r="E19" s="46">
        <f t="shared" si="3"/>
        <v>5871479.3272316018</v>
      </c>
      <c r="F19" s="73">
        <f t="shared" si="0"/>
        <v>0.72</v>
      </c>
      <c r="G19" s="45">
        <f t="shared" si="1"/>
        <v>4.05</v>
      </c>
      <c r="H19" s="74">
        <f t="shared" si="8"/>
        <v>9254651.0514094122</v>
      </c>
      <c r="I19" s="75">
        <f t="shared" si="4"/>
        <v>-0.6777931691259228</v>
      </c>
      <c r="J19" s="76">
        <f t="shared" si="5"/>
        <v>-0.69456900992231629</v>
      </c>
      <c r="K19" s="45"/>
      <c r="L19" s="49">
        <f t="shared" si="6"/>
        <v>0.24366271951211704</v>
      </c>
    </row>
    <row r="20" spans="3:16" x14ac:dyDescent="0.25">
      <c r="C20" s="37">
        <f t="shared" si="7"/>
        <v>2030</v>
      </c>
      <c r="D20" s="45">
        <f t="shared" si="2"/>
        <v>10</v>
      </c>
      <c r="E20" s="46">
        <f t="shared" si="3"/>
        <v>6047623.7070485502</v>
      </c>
      <c r="F20" s="73">
        <f t="shared" si="0"/>
        <v>0.8</v>
      </c>
      <c r="G20" s="45">
        <f t="shared" si="1"/>
        <v>4.5</v>
      </c>
      <c r="H20" s="74">
        <f t="shared" si="8"/>
        <v>9995023.1355221663</v>
      </c>
      <c r="I20" s="75">
        <f t="shared" si="4"/>
        <v>-0.62405719728822706</v>
      </c>
      <c r="J20" s="76">
        <f t="shared" si="5"/>
        <v>-0.67130700066667637</v>
      </c>
      <c r="K20" s="45"/>
      <c r="L20" s="49">
        <f t="shared" si="6"/>
        <v>0.25101248790991548</v>
      </c>
    </row>
    <row r="21" spans="3:16" x14ac:dyDescent="0.25">
      <c r="C21" s="37">
        <f t="shared" si="7"/>
        <v>2031</v>
      </c>
      <c r="D21" s="45">
        <f t="shared" si="2"/>
        <v>11</v>
      </c>
      <c r="E21" s="46">
        <f t="shared" si="3"/>
        <v>6229052.4182600072</v>
      </c>
      <c r="F21" s="73">
        <f t="shared" si="0"/>
        <v>0.88</v>
      </c>
      <c r="G21" s="45">
        <f t="shared" si="1"/>
        <v>4.95</v>
      </c>
      <c r="H21" s="74">
        <f t="shared" si="8"/>
        <v>10794624.98636394</v>
      </c>
      <c r="I21" s="75">
        <f t="shared" si="4"/>
        <v>-0.56518356494248256</v>
      </c>
      <c r="J21" s="76">
        <f t="shared" si="5"/>
        <v>-0.64956170714557304</v>
      </c>
      <c r="K21" s="45"/>
      <c r="L21" s="49">
        <f t="shared" si="6"/>
        <v>0.25798768744470391</v>
      </c>
    </row>
    <row r="22" spans="3:16" x14ac:dyDescent="0.25">
      <c r="C22" s="37">
        <f t="shared" si="7"/>
        <v>2032</v>
      </c>
      <c r="D22" s="45">
        <f t="shared" si="2"/>
        <v>12</v>
      </c>
      <c r="E22" s="46">
        <f t="shared" si="3"/>
        <v>6415923.990807808</v>
      </c>
      <c r="F22" s="73">
        <f t="shared" si="0"/>
        <v>0.96</v>
      </c>
      <c r="G22" s="45">
        <f t="shared" si="1"/>
        <v>5.4</v>
      </c>
      <c r="H22" s="74">
        <f t="shared" si="8"/>
        <v>11658194.985273056</v>
      </c>
      <c r="I22" s="75">
        <f t="shared" si="4"/>
        <v>-0.5007360957652145</v>
      </c>
      <c r="J22" s="76">
        <f t="shared" si="5"/>
        <v>-0.62860073023363527</v>
      </c>
      <c r="K22" s="45"/>
      <c r="L22" s="49">
        <f t="shared" si="6"/>
        <v>0.26480524107108372</v>
      </c>
    </row>
    <row r="23" spans="3:16" x14ac:dyDescent="0.25">
      <c r="C23" s="37">
        <f t="shared" si="7"/>
        <v>2033</v>
      </c>
      <c r="D23" s="45">
        <f t="shared" si="2"/>
        <v>13</v>
      </c>
      <c r="E23" s="46">
        <f t="shared" si="3"/>
        <v>6608401.7105320422</v>
      </c>
      <c r="F23" s="73">
        <f t="shared" si="0"/>
        <v>1.04</v>
      </c>
      <c r="G23" s="45">
        <f t="shared" si="1"/>
        <v>5.8500000000000005</v>
      </c>
      <c r="H23" s="74">
        <f t="shared" si="8"/>
        <v>12590850.584094901</v>
      </c>
      <c r="I23" s="75">
        <f t="shared" si="4"/>
        <v>-0.43024296442258492</v>
      </c>
      <c r="J23" s="76">
        <f t="shared" si="5"/>
        <v>-0.60787065291268783</v>
      </c>
      <c r="K23" s="45"/>
      <c r="L23" s="49">
        <f t="shared" si="6"/>
        <v>0.27163663250131115</v>
      </c>
    </row>
    <row r="24" spans="3:16" x14ac:dyDescent="0.25">
      <c r="C24" s="37">
        <f t="shared" si="7"/>
        <v>2034</v>
      </c>
      <c r="D24" s="45">
        <f t="shared" si="2"/>
        <v>14</v>
      </c>
      <c r="E24" s="46">
        <f t="shared" si="3"/>
        <v>6806653.7618480036</v>
      </c>
      <c r="F24" s="73">
        <f t="shared" si="0"/>
        <v>1.1200000000000001</v>
      </c>
      <c r="G24" s="45">
        <f t="shared" si="1"/>
        <v>6.3</v>
      </c>
      <c r="H24" s="74">
        <f t="shared" si="8"/>
        <v>13598118.630822493</v>
      </c>
      <c r="I24" s="75">
        <f t="shared" si="4"/>
        <v>-0.35319382200242966</v>
      </c>
      <c r="J24" s="76">
        <f t="shared" si="5"/>
        <v>-0.58693446771732816</v>
      </c>
      <c r="K24" s="45"/>
      <c r="L24" s="49">
        <f t="shared" si="6"/>
        <v>0.2786238598847296</v>
      </c>
    </row>
    <row r="25" spans="3:16" x14ac:dyDescent="0.25">
      <c r="C25" s="37">
        <f t="shared" si="7"/>
        <v>2035</v>
      </c>
      <c r="D25" s="45">
        <f t="shared" si="2"/>
        <v>15</v>
      </c>
      <c r="E25" s="46">
        <f t="shared" si="3"/>
        <v>7010853.3747034436</v>
      </c>
      <c r="F25" s="73">
        <f t="shared" si="0"/>
        <v>1.2</v>
      </c>
      <c r="G25" s="45">
        <f t="shared" si="1"/>
        <v>6.75</v>
      </c>
      <c r="H25" s="74">
        <f t="shared" si="8"/>
        <v>14685968.121288294</v>
      </c>
      <c r="I25" s="75">
        <f t="shared" si="4"/>
        <v>-0.26903669080144277</v>
      </c>
      <c r="J25" s="76">
        <f t="shared" si="5"/>
        <v>-0.56543248592243334</v>
      </c>
      <c r="K25" s="45"/>
      <c r="L25" s="49">
        <f t="shared" si="6"/>
        <v>0.2858898168147499</v>
      </c>
      <c r="O25" s="9" t="s">
        <v>79</v>
      </c>
    </row>
    <row r="27" spans="3:16" ht="47.25" customHeight="1" x14ac:dyDescent="0.25">
      <c r="L27" s="9" t="s">
        <v>164</v>
      </c>
      <c r="O27" s="78" t="s">
        <v>162</v>
      </c>
      <c r="P27" s="9" t="s">
        <v>149</v>
      </c>
    </row>
  </sheetData>
  <mergeCells count="1">
    <mergeCell ref="H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Q1 Data</vt:lpstr>
      <vt:lpstr>Q1 (i)</vt:lpstr>
      <vt:lpstr>Q1 (ii)</vt:lpstr>
      <vt:lpstr>Q1 (iii)</vt:lpstr>
      <vt:lpstr>Q1 (iv)</vt:lpstr>
      <vt:lpstr>Q2 Data</vt:lpstr>
      <vt:lpstr>Q2 (i)</vt:lpstr>
      <vt:lpstr>Q2 (ii) (a)</vt:lpstr>
      <vt:lpstr>Q2 (ii) (b)</vt:lpstr>
      <vt:lpstr>Q2 (iii)</vt:lpstr>
      <vt:lpstr>Q3</vt:lpstr>
      <vt:lpstr>Q4</vt:lpstr>
      <vt:lpstr>Q5</vt:lpstr>
      <vt:lpstr>Q6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2021-06-15T12:11:06Z</dcterms:modified>
</cp:coreProperties>
</file>