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MWAL\Desktop\Desktop\"/>
    </mc:Choice>
  </mc:AlternateContent>
  <bookViews>
    <workbookView xWindow="0" yWindow="0" windowWidth="28800" windowHeight="11085" tabRatio="819" activeTab="5"/>
  </bookViews>
  <sheets>
    <sheet name="Audit Trail" sheetId="6" r:id="rId1"/>
    <sheet name="Parameters" sheetId="2" r:id="rId2"/>
    <sheet name="Projections - Base" sheetId="1" r:id="rId3"/>
    <sheet name="Projections - Scn2" sheetId="4" r:id="rId4"/>
    <sheet name="Projections - Scn3" sheetId="5" r:id="rId5"/>
    <sheet name="Charts" sheetId="3" r:id="rId6"/>
  </sheets>
  <externalReferences>
    <externalReference r:id="rId7"/>
  </externalReferences>
  <definedNames>
    <definedName name="rdr">[1]Parameters!$E$5</definedName>
  </definedNames>
  <calcPr calcId="171027"/>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3" i="2" l="1"/>
  <c r="E23" i="2" s="1"/>
  <c r="C18" i="2"/>
  <c r="E18" i="2" s="1"/>
  <c r="C17" i="2"/>
  <c r="E17" i="2" s="1"/>
  <c r="C14" i="2"/>
  <c r="E14" i="2" s="1"/>
  <c r="C13" i="2"/>
  <c r="E13" i="2" s="1"/>
  <c r="C6" i="4"/>
  <c r="G4" i="3"/>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A4" i="3"/>
  <c r="AA41" i="5"/>
  <c r="AA40" i="5"/>
  <c r="AA39" i="5"/>
  <c r="AA38" i="5"/>
  <c r="AA37" i="5"/>
  <c r="AA36" i="5"/>
  <c r="AA35" i="5"/>
  <c r="AA34" i="5"/>
  <c r="AA33" i="5"/>
  <c r="AA32" i="5"/>
  <c r="AA31" i="5"/>
  <c r="AA30" i="5"/>
  <c r="AA29" i="5"/>
  <c r="AA28" i="5"/>
  <c r="AA27" i="5"/>
  <c r="AA26" i="5"/>
  <c r="AA25" i="5"/>
  <c r="AA24" i="5"/>
  <c r="AA23" i="5"/>
  <c r="AA22" i="5"/>
  <c r="AA21" i="5"/>
  <c r="AA20" i="5"/>
  <c r="AA19" i="5"/>
  <c r="AA18" i="5"/>
  <c r="AA17" i="5"/>
  <c r="AA16" i="5"/>
  <c r="AA15" i="5"/>
  <c r="AA14" i="5"/>
  <c r="AA13" i="5"/>
  <c r="AA12" i="5"/>
  <c r="AA11" i="5"/>
  <c r="AA10" i="5"/>
  <c r="AA9" i="5"/>
  <c r="AA8" i="5"/>
  <c r="AA7" i="5"/>
  <c r="B7" i="5"/>
  <c r="C7" i="5" s="1"/>
  <c r="AA6" i="5"/>
  <c r="P6" i="5"/>
  <c r="AC6" i="5" s="1"/>
  <c r="N6" i="5"/>
  <c r="O6" i="5" s="1"/>
  <c r="Q6" i="5" s="1"/>
  <c r="D6" i="5"/>
  <c r="H6" i="5" s="1"/>
  <c r="C6" i="5"/>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B7" i="4"/>
  <c r="C7" i="4" s="1"/>
  <c r="AA6" i="4"/>
  <c r="P6" i="4"/>
  <c r="T6" i="4" s="1"/>
  <c r="N6" i="4"/>
  <c r="O6" i="4" s="1"/>
  <c r="Q6" i="4" s="1"/>
  <c r="D6" i="4"/>
  <c r="AB6" i="4" s="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P6" i="1"/>
  <c r="T6" i="1" s="1"/>
  <c r="N6" i="1"/>
  <c r="Z6" i="1" s="1"/>
  <c r="C6" i="1"/>
  <c r="D6" i="1"/>
  <c r="AB6" i="1" s="1"/>
  <c r="B7" i="1"/>
  <c r="B8" i="1" s="1"/>
  <c r="Z6" i="4"/>
  <c r="B8" i="4"/>
  <c r="B9" i="4" s="1"/>
  <c r="N7" i="4"/>
  <c r="O7" i="4" s="1"/>
  <c r="Q7" i="4" s="1"/>
  <c r="Z7" i="4"/>
  <c r="B8" i="5" l="1"/>
  <c r="N8" i="5" s="1"/>
  <c r="Z8" i="5" s="1"/>
  <c r="A6" i="3"/>
  <c r="N8" i="1"/>
  <c r="Z8" i="1" s="1"/>
  <c r="C8" i="1"/>
  <c r="B9" i="1"/>
  <c r="N7" i="5"/>
  <c r="O7" i="5" s="1"/>
  <c r="Q7" i="5" s="1"/>
  <c r="N7" i="1"/>
  <c r="O7" i="1" s="1"/>
  <c r="Q7" i="1" s="1"/>
  <c r="B9" i="5"/>
  <c r="B10" i="5" s="1"/>
  <c r="N10" i="5" s="1"/>
  <c r="Z6" i="5"/>
  <c r="C7" i="1"/>
  <c r="A5" i="3"/>
  <c r="H6" i="4"/>
  <c r="T6" i="5"/>
  <c r="AC6" i="1"/>
  <c r="AD6" i="1" s="1"/>
  <c r="E6" i="5"/>
  <c r="F6" i="5" s="1"/>
  <c r="G6" i="5" s="1"/>
  <c r="D7" i="5" s="1"/>
  <c r="AB6" i="5"/>
  <c r="AD6" i="5" s="1"/>
  <c r="H6" i="1"/>
  <c r="E6" i="1"/>
  <c r="F6" i="1" s="1"/>
  <c r="B10" i="4"/>
  <c r="C10" i="4" s="1"/>
  <c r="C9" i="4"/>
  <c r="R6" i="5"/>
  <c r="S6" i="5" s="1"/>
  <c r="P7" i="5" s="1"/>
  <c r="N8" i="4"/>
  <c r="O8" i="4" s="1"/>
  <c r="Q8" i="4" s="1"/>
  <c r="C8" i="4"/>
  <c r="N9" i="5"/>
  <c r="O6" i="1"/>
  <c r="Q6" i="1" s="1"/>
  <c r="R6" i="1" s="1"/>
  <c r="S6" i="1" s="1"/>
  <c r="Z7" i="5"/>
  <c r="R6" i="4"/>
  <c r="S6" i="4" s="1"/>
  <c r="P7" i="4" s="1"/>
  <c r="R7" i="4" s="1"/>
  <c r="C9" i="5"/>
  <c r="C8" i="5"/>
  <c r="B11" i="4"/>
  <c r="N10" i="4"/>
  <c r="O8" i="1"/>
  <c r="Q8" i="1" s="1"/>
  <c r="Z8" i="4"/>
  <c r="Z7" i="1"/>
  <c r="O8" i="5"/>
  <c r="Q8" i="5" s="1"/>
  <c r="N9" i="4"/>
  <c r="E6" i="4"/>
  <c r="F6" i="4" s="1"/>
  <c r="G6" i="4" s="1"/>
  <c r="AC6" i="4"/>
  <c r="AD6" i="4" s="1"/>
  <c r="B11" i="5" l="1"/>
  <c r="C10" i="5"/>
  <c r="R7" i="5"/>
  <c r="S7" i="5" s="1"/>
  <c r="N9" i="1"/>
  <c r="A7" i="3"/>
  <c r="B10" i="1"/>
  <c r="C9" i="1"/>
  <c r="I6" i="5"/>
  <c r="J6" i="5" s="1"/>
  <c r="O9" i="5"/>
  <c r="Q9" i="5" s="1"/>
  <c r="Z9" i="5"/>
  <c r="U6" i="4"/>
  <c r="W6" i="4" s="1"/>
  <c r="B12" i="5"/>
  <c r="N11" i="5"/>
  <c r="C11" i="5"/>
  <c r="O10" i="5"/>
  <c r="Q10" i="5" s="1"/>
  <c r="Z10" i="5"/>
  <c r="O10" i="4"/>
  <c r="Q10" i="4" s="1"/>
  <c r="Z10" i="4"/>
  <c r="B12" i="4"/>
  <c r="N11" i="4"/>
  <c r="C11" i="4"/>
  <c r="Z9" i="4"/>
  <c r="O9" i="4"/>
  <c r="Q9" i="4" s="1"/>
  <c r="U6" i="5"/>
  <c r="W6" i="5" s="1"/>
  <c r="U6" i="1"/>
  <c r="P7" i="1"/>
  <c r="C4" i="3"/>
  <c r="T7" i="5"/>
  <c r="AC7" i="5"/>
  <c r="H7" i="5"/>
  <c r="AB7" i="5"/>
  <c r="E7" i="5"/>
  <c r="G6" i="1"/>
  <c r="S7" i="4"/>
  <c r="AC7" i="4"/>
  <c r="T7" i="4"/>
  <c r="D7" i="4"/>
  <c r="I6" i="4"/>
  <c r="N10" i="1" l="1"/>
  <c r="B11" i="1"/>
  <c r="C10" i="1"/>
  <c r="A8" i="3"/>
  <c r="O9" i="1"/>
  <c r="Q9" i="1" s="1"/>
  <c r="Z9" i="1"/>
  <c r="K6" i="5"/>
  <c r="L6" i="5" s="1"/>
  <c r="V6" i="4"/>
  <c r="X6" i="4" s="1"/>
  <c r="Z11" i="4"/>
  <c r="O11" i="4"/>
  <c r="Q11" i="4" s="1"/>
  <c r="Z11" i="5"/>
  <c r="O11" i="5"/>
  <c r="Q11" i="5" s="1"/>
  <c r="B13" i="4"/>
  <c r="N12" i="4"/>
  <c r="C12" i="4"/>
  <c r="B13" i="5"/>
  <c r="N12" i="5"/>
  <c r="C12" i="5"/>
  <c r="AD7" i="5"/>
  <c r="V6" i="5"/>
  <c r="X6" i="5" s="1"/>
  <c r="F7" i="5"/>
  <c r="I6" i="1"/>
  <c r="D7" i="1"/>
  <c r="B4" i="3"/>
  <c r="D4" i="3" s="1"/>
  <c r="P8" i="5"/>
  <c r="U7" i="5"/>
  <c r="W7" i="5" s="1"/>
  <c r="W6" i="1"/>
  <c r="V6" i="1"/>
  <c r="U7" i="4"/>
  <c r="W7" i="4" s="1"/>
  <c r="P8" i="4"/>
  <c r="T7" i="1"/>
  <c r="AC7" i="1"/>
  <c r="R7" i="1"/>
  <c r="H7" i="4"/>
  <c r="AB7" i="4"/>
  <c r="AD7" i="4" s="1"/>
  <c r="E7" i="4"/>
  <c r="K6" i="4"/>
  <c r="J6" i="4"/>
  <c r="A9" i="3" l="1"/>
  <c r="N11" i="1"/>
  <c r="B12" i="1"/>
  <c r="C11" i="1"/>
  <c r="O10" i="1"/>
  <c r="Q10" i="1" s="1"/>
  <c r="Z10" i="1"/>
  <c r="AF6" i="5"/>
  <c r="B14" i="5"/>
  <c r="N13" i="5"/>
  <c r="C13" i="5"/>
  <c r="O12" i="4"/>
  <c r="Q12" i="4" s="1"/>
  <c r="Z12" i="4"/>
  <c r="C13" i="4"/>
  <c r="B14" i="4"/>
  <c r="N13" i="4"/>
  <c r="Z12" i="5"/>
  <c r="O12" i="5"/>
  <c r="Q12" i="5" s="1"/>
  <c r="AE6" i="5"/>
  <c r="V7" i="5"/>
  <c r="X7" i="5" s="1"/>
  <c r="AC8" i="4"/>
  <c r="T8" i="4"/>
  <c r="R8" i="4"/>
  <c r="S8" i="4" s="1"/>
  <c r="T8" i="5"/>
  <c r="AC8" i="5"/>
  <c r="R8" i="5"/>
  <c r="S8" i="5" s="1"/>
  <c r="V7" i="4"/>
  <c r="K6" i="1"/>
  <c r="J6" i="1"/>
  <c r="AE6" i="1" s="1"/>
  <c r="X6" i="1"/>
  <c r="H7" i="1"/>
  <c r="E7" i="1"/>
  <c r="AB7" i="1"/>
  <c r="AD7" i="1" s="1"/>
  <c r="S7" i="1"/>
  <c r="G7" i="5"/>
  <c r="F7" i="4"/>
  <c r="AF6" i="4"/>
  <c r="AE6" i="4"/>
  <c r="L6" i="4"/>
  <c r="B13" i="1" l="1"/>
  <c r="C12" i="1"/>
  <c r="A10" i="3"/>
  <c r="N12" i="1"/>
  <c r="O11" i="1"/>
  <c r="Q11" i="1" s="1"/>
  <c r="Z11" i="1"/>
  <c r="AG6" i="5"/>
  <c r="AJ6" i="5" s="1"/>
  <c r="Z13" i="4"/>
  <c r="O13" i="4"/>
  <c r="Q13" i="4" s="1"/>
  <c r="C14" i="4"/>
  <c r="B15" i="4"/>
  <c r="N14" i="4"/>
  <c r="O13" i="5"/>
  <c r="Q13" i="5" s="1"/>
  <c r="Z13" i="5"/>
  <c r="N14" i="5"/>
  <c r="C14" i="5"/>
  <c r="B15" i="5"/>
  <c r="D8" i="5"/>
  <c r="I7" i="5"/>
  <c r="F7" i="1"/>
  <c r="P9" i="4"/>
  <c r="U8" i="4"/>
  <c r="W8" i="4" s="1"/>
  <c r="AF6" i="1"/>
  <c r="X7" i="4"/>
  <c r="L6" i="1"/>
  <c r="P9" i="5"/>
  <c r="U8" i="5"/>
  <c r="W8" i="5" s="1"/>
  <c r="C5" i="3"/>
  <c r="P8" i="1"/>
  <c r="U7" i="1"/>
  <c r="AG6" i="4"/>
  <c r="G7" i="4"/>
  <c r="Z12" i="1" l="1"/>
  <c r="O12" i="1"/>
  <c r="Q12" i="1" s="1"/>
  <c r="N13" i="1"/>
  <c r="B14" i="1"/>
  <c r="A11" i="3"/>
  <c r="C13" i="1"/>
  <c r="AL6" i="5"/>
  <c r="AK6" i="5"/>
  <c r="AH6" i="5"/>
  <c r="V8" i="4"/>
  <c r="X8" i="4" s="1"/>
  <c r="C15" i="4"/>
  <c r="B16" i="4"/>
  <c r="N15" i="4"/>
  <c r="B16" i="5"/>
  <c r="N15" i="5"/>
  <c r="C15" i="5"/>
  <c r="O14" i="5"/>
  <c r="Q14" i="5" s="1"/>
  <c r="Z14" i="5"/>
  <c r="Z14" i="4"/>
  <c r="O14" i="4"/>
  <c r="Q14" i="4" s="1"/>
  <c r="G7" i="1"/>
  <c r="AC9" i="5"/>
  <c r="T9" i="5"/>
  <c r="R9" i="5"/>
  <c r="S9" i="5" s="1"/>
  <c r="V8" i="5"/>
  <c r="E8" i="5"/>
  <c r="H8" i="5"/>
  <c r="AB8" i="5"/>
  <c r="AD8" i="5" s="1"/>
  <c r="R8" i="1"/>
  <c r="AC8" i="1"/>
  <c r="T8" i="1"/>
  <c r="K7" i="5"/>
  <c r="J7" i="5"/>
  <c r="W7" i="1"/>
  <c r="V7" i="1"/>
  <c r="AC9" i="4"/>
  <c r="T9" i="4"/>
  <c r="R9" i="4"/>
  <c r="S9" i="4" s="1"/>
  <c r="AG6" i="1"/>
  <c r="I7" i="4"/>
  <c r="D8" i="4"/>
  <c r="AL6" i="4"/>
  <c r="AK6" i="4"/>
  <c r="AJ6" i="4"/>
  <c r="AH6" i="4"/>
  <c r="C14" i="1" l="1"/>
  <c r="B15" i="1"/>
  <c r="A12" i="3"/>
  <c r="N14" i="1"/>
  <c r="O13" i="1"/>
  <c r="Q13" i="1" s="1"/>
  <c r="Z13" i="1"/>
  <c r="AM6" i="5"/>
  <c r="Z15" i="4"/>
  <c r="O15" i="4"/>
  <c r="Q15" i="4" s="1"/>
  <c r="N16" i="4"/>
  <c r="B17" i="4"/>
  <c r="C16" i="4"/>
  <c r="O15" i="5"/>
  <c r="Q15" i="5" s="1"/>
  <c r="Z15" i="5"/>
  <c r="B17" i="5"/>
  <c r="N16" i="5"/>
  <c r="C16" i="5"/>
  <c r="U9" i="5"/>
  <c r="W9" i="5" s="1"/>
  <c r="P10" i="5"/>
  <c r="U9" i="4"/>
  <c r="W9" i="4" s="1"/>
  <c r="P10" i="4"/>
  <c r="X8" i="5"/>
  <c r="S8" i="1"/>
  <c r="F8" i="5"/>
  <c r="G8" i="5" s="1"/>
  <c r="B5" i="3"/>
  <c r="D5" i="3" s="1"/>
  <c r="I7" i="1"/>
  <c r="D8" i="1"/>
  <c r="L7" i="5"/>
  <c r="AE7" i="5"/>
  <c r="AL6" i="1"/>
  <c r="AJ6" i="1"/>
  <c r="F4" i="3"/>
  <c r="AK6" i="1"/>
  <c r="AH6" i="1"/>
  <c r="AF7" i="5"/>
  <c r="X7" i="1"/>
  <c r="K7" i="4"/>
  <c r="J7" i="4"/>
  <c r="AM6" i="4"/>
  <c r="H8" i="4"/>
  <c r="AB8" i="4"/>
  <c r="AD8" i="4" s="1"/>
  <c r="E8" i="4"/>
  <c r="Z14" i="1" l="1"/>
  <c r="O14" i="1"/>
  <c r="Q14" i="1" s="1"/>
  <c r="B16" i="1"/>
  <c r="N15" i="1"/>
  <c r="C15" i="1"/>
  <c r="A13" i="3"/>
  <c r="V9" i="4"/>
  <c r="X9" i="4" s="1"/>
  <c r="Z16" i="5"/>
  <c r="O16" i="5"/>
  <c r="Q16" i="5" s="1"/>
  <c r="C17" i="5"/>
  <c r="B18" i="5"/>
  <c r="N17" i="5"/>
  <c r="C17" i="4"/>
  <c r="B18" i="4"/>
  <c r="N17" i="4"/>
  <c r="Z16" i="4"/>
  <c r="O16" i="4"/>
  <c r="Q16" i="4" s="1"/>
  <c r="AG7" i="5"/>
  <c r="AJ7" i="5" s="1"/>
  <c r="V9" i="5"/>
  <c r="X9" i="5" s="1"/>
  <c r="I8" i="5"/>
  <c r="D9" i="5"/>
  <c r="P9" i="1"/>
  <c r="U8" i="1"/>
  <c r="C6" i="3"/>
  <c r="T10" i="5"/>
  <c r="AC10" i="5"/>
  <c r="R10" i="5"/>
  <c r="S10" i="5" s="1"/>
  <c r="T10" i="4"/>
  <c r="AC10" i="4"/>
  <c r="R10" i="4"/>
  <c r="S10" i="4" s="1"/>
  <c r="AM6" i="1"/>
  <c r="K7" i="1"/>
  <c r="J7" i="1"/>
  <c r="H8" i="1"/>
  <c r="E8" i="1"/>
  <c r="AB8" i="1"/>
  <c r="AD8" i="1" s="1"/>
  <c r="AF7" i="4"/>
  <c r="AE7" i="4"/>
  <c r="L7" i="4"/>
  <c r="F8" i="4"/>
  <c r="O15" i="1" l="1"/>
  <c r="Q15" i="1" s="1"/>
  <c r="Z15" i="1"/>
  <c r="C16" i="1"/>
  <c r="A14" i="3"/>
  <c r="B17" i="1"/>
  <c r="N16" i="1"/>
  <c r="N18" i="4"/>
  <c r="B19" i="4"/>
  <c r="C18" i="4"/>
  <c r="Z17" i="4"/>
  <c r="O17" i="4"/>
  <c r="Q17" i="4" s="1"/>
  <c r="N18" i="5"/>
  <c r="C18" i="5"/>
  <c r="B19" i="5"/>
  <c r="Z17" i="5"/>
  <c r="O17" i="5"/>
  <c r="Q17" i="5" s="1"/>
  <c r="AH7" i="5"/>
  <c r="AL7" i="5"/>
  <c r="AK7" i="5"/>
  <c r="P11" i="4"/>
  <c r="U10" i="4"/>
  <c r="W10" i="4" s="1"/>
  <c r="U10" i="5"/>
  <c r="W10" i="5" s="1"/>
  <c r="P11" i="5"/>
  <c r="AF7" i="1"/>
  <c r="K8" i="5"/>
  <c r="J8" i="5"/>
  <c r="AC9" i="1"/>
  <c r="T9" i="1"/>
  <c r="R9" i="1"/>
  <c r="S9" i="1" s="1"/>
  <c r="H9" i="5"/>
  <c r="E9" i="5"/>
  <c r="AB9" i="5"/>
  <c r="AD9" i="5" s="1"/>
  <c r="W8" i="1"/>
  <c r="V8" i="1"/>
  <c r="F8" i="1"/>
  <c r="AG7" i="4"/>
  <c r="AL7" i="4" s="1"/>
  <c r="L7" i="1"/>
  <c r="AE7" i="1"/>
  <c r="G8" i="4"/>
  <c r="O16" i="1" l="1"/>
  <c r="Q16" i="1" s="1"/>
  <c r="Z16" i="1"/>
  <c r="B18" i="1"/>
  <c r="C17" i="1"/>
  <c r="A15" i="3"/>
  <c r="N17" i="1"/>
  <c r="V10" i="4"/>
  <c r="X10" i="4" s="1"/>
  <c r="AG7" i="1"/>
  <c r="AJ7" i="1" s="1"/>
  <c r="Z18" i="5"/>
  <c r="O18" i="5"/>
  <c r="Q18" i="5" s="1"/>
  <c r="AH7" i="4"/>
  <c r="AJ7" i="4"/>
  <c r="AK7" i="4"/>
  <c r="B20" i="5"/>
  <c r="N19" i="5"/>
  <c r="C19" i="5"/>
  <c r="C19" i="4"/>
  <c r="N19" i="4"/>
  <c r="B20" i="4"/>
  <c r="Z18" i="4"/>
  <c r="O18" i="4"/>
  <c r="Q18" i="4" s="1"/>
  <c r="AM7" i="5"/>
  <c r="V10" i="5"/>
  <c r="X10" i="5" s="1"/>
  <c r="AF8" i="5"/>
  <c r="F9" i="5"/>
  <c r="G9" i="5" s="1"/>
  <c r="L8" i="5"/>
  <c r="AE8" i="5"/>
  <c r="R11" i="4"/>
  <c r="S11" i="4" s="1"/>
  <c r="AC11" i="4"/>
  <c r="T11" i="4"/>
  <c r="C7" i="3"/>
  <c r="U9" i="1"/>
  <c r="W9" i="1" s="1"/>
  <c r="P10" i="1"/>
  <c r="AC11" i="5"/>
  <c r="T11" i="5"/>
  <c r="R11" i="5"/>
  <c r="S11" i="5" s="1"/>
  <c r="X8" i="1"/>
  <c r="G8" i="1"/>
  <c r="I8" i="4"/>
  <c r="D9" i="4"/>
  <c r="N18" i="1" l="1"/>
  <c r="B19" i="1"/>
  <c r="A16" i="3"/>
  <c r="C18" i="1"/>
  <c r="Z17" i="1"/>
  <c r="O17" i="1"/>
  <c r="Q17" i="1" s="1"/>
  <c r="AK7" i="1"/>
  <c r="AL7" i="1"/>
  <c r="AG8" i="5"/>
  <c r="AK8" i="5" s="1"/>
  <c r="AH7" i="1"/>
  <c r="F5" i="3"/>
  <c r="AM7" i="4"/>
  <c r="B21" i="5"/>
  <c r="N20" i="5"/>
  <c r="C20" i="5"/>
  <c r="Z19" i="4"/>
  <c r="O19" i="4"/>
  <c r="Q19" i="4" s="1"/>
  <c r="Z19" i="5"/>
  <c r="O19" i="5"/>
  <c r="Q19" i="5" s="1"/>
  <c r="V9" i="1"/>
  <c r="X9" i="1" s="1"/>
  <c r="B21" i="4"/>
  <c r="C20" i="4"/>
  <c r="N20" i="4"/>
  <c r="I9" i="5"/>
  <c r="D10" i="5"/>
  <c r="U11" i="4"/>
  <c r="W11" i="4" s="1"/>
  <c r="P12" i="4"/>
  <c r="P12" i="5"/>
  <c r="U11" i="5"/>
  <c r="W11" i="5" s="1"/>
  <c r="D9" i="1"/>
  <c r="I8" i="1"/>
  <c r="B6" i="3"/>
  <c r="D6" i="3" s="1"/>
  <c r="T10" i="1"/>
  <c r="AC10" i="1"/>
  <c r="R10" i="1"/>
  <c r="S10" i="1" s="1"/>
  <c r="K8" i="4"/>
  <c r="J8" i="4"/>
  <c r="AB9" i="4"/>
  <c r="AD9" i="4" s="1"/>
  <c r="E9" i="4"/>
  <c r="H9" i="4"/>
  <c r="C19" i="1" l="1"/>
  <c r="N19" i="1"/>
  <c r="B20" i="1"/>
  <c r="A17" i="3"/>
  <c r="Z18" i="1"/>
  <c r="O18" i="1"/>
  <c r="Q18" i="1" s="1"/>
  <c r="AM7" i="1"/>
  <c r="AH8" i="5"/>
  <c r="AL8" i="5"/>
  <c r="AJ8" i="5"/>
  <c r="C21" i="4"/>
  <c r="B22" i="4"/>
  <c r="N21" i="4"/>
  <c r="B22" i="5"/>
  <c r="N21" i="5"/>
  <c r="C21" i="5"/>
  <c r="O20" i="5"/>
  <c r="Q20" i="5" s="1"/>
  <c r="Z20" i="5"/>
  <c r="V11" i="5"/>
  <c r="X11" i="5" s="1"/>
  <c r="Z20" i="4"/>
  <c r="O20" i="4"/>
  <c r="Q20" i="4" s="1"/>
  <c r="R12" i="5"/>
  <c r="S12" i="5" s="1"/>
  <c r="T12" i="5"/>
  <c r="AC12" i="5"/>
  <c r="K9" i="5"/>
  <c r="J9" i="5"/>
  <c r="V11" i="4"/>
  <c r="X11" i="4" s="1"/>
  <c r="AB10" i="5"/>
  <c r="AD10" i="5" s="1"/>
  <c r="H10" i="5"/>
  <c r="E10" i="5"/>
  <c r="U10" i="1"/>
  <c r="W10" i="1" s="1"/>
  <c r="P11" i="1"/>
  <c r="C8" i="3"/>
  <c r="AB9" i="1"/>
  <c r="AD9" i="1" s="1"/>
  <c r="H9" i="1"/>
  <c r="E9" i="1"/>
  <c r="K8" i="1"/>
  <c r="J8" i="1"/>
  <c r="T12" i="4"/>
  <c r="AC12" i="4"/>
  <c r="R12" i="4"/>
  <c r="S12" i="4" s="1"/>
  <c r="AF8" i="4"/>
  <c r="AE8" i="4"/>
  <c r="L8" i="4"/>
  <c r="F9" i="4"/>
  <c r="G9" i="4" s="1"/>
  <c r="B21" i="1" l="1"/>
  <c r="N20" i="1"/>
  <c r="C20" i="1"/>
  <c r="A18" i="3"/>
  <c r="O19" i="1"/>
  <c r="Q19" i="1" s="1"/>
  <c r="Z19" i="1"/>
  <c r="AM8" i="5"/>
  <c r="O21" i="5"/>
  <c r="Q21" i="5" s="1"/>
  <c r="Z21" i="5"/>
  <c r="B23" i="5"/>
  <c r="N22" i="5"/>
  <c r="C22" i="5"/>
  <c r="Z21" i="4"/>
  <c r="O21" i="4"/>
  <c r="Q21" i="4" s="1"/>
  <c r="C22" i="4"/>
  <c r="N22" i="4"/>
  <c r="B23" i="4"/>
  <c r="U12" i="4"/>
  <c r="W12" i="4" s="1"/>
  <c r="P13" i="4"/>
  <c r="U12" i="5"/>
  <c r="W12" i="5" s="1"/>
  <c r="P13" i="5"/>
  <c r="F9" i="1"/>
  <c r="G9" i="1" s="1"/>
  <c r="AF8" i="1"/>
  <c r="F10" i="5"/>
  <c r="G10" i="5" s="1"/>
  <c r="V10" i="1"/>
  <c r="AE8" i="1"/>
  <c r="L8" i="1"/>
  <c r="AC11" i="1"/>
  <c r="T11" i="1"/>
  <c r="R11" i="1"/>
  <c r="S11" i="1" s="1"/>
  <c r="AF9" i="5"/>
  <c r="L9" i="5"/>
  <c r="AE9" i="5"/>
  <c r="D10" i="4"/>
  <c r="I9" i="4"/>
  <c r="AG8" i="4"/>
  <c r="Z20" i="1" l="1"/>
  <c r="O20" i="1"/>
  <c r="Q20" i="1" s="1"/>
  <c r="B22" i="1"/>
  <c r="A19" i="3"/>
  <c r="C21" i="1"/>
  <c r="N21" i="1"/>
  <c r="V12" i="4"/>
  <c r="X12" i="4" s="1"/>
  <c r="N23" i="4"/>
  <c r="C23" i="4"/>
  <c r="B24" i="4"/>
  <c r="B24" i="5"/>
  <c r="C23" i="5"/>
  <c r="N23" i="5"/>
  <c r="Z22" i="5"/>
  <c r="O22" i="5"/>
  <c r="Q22" i="5" s="1"/>
  <c r="O22" i="4"/>
  <c r="Q22" i="4" s="1"/>
  <c r="Z22" i="4"/>
  <c r="AG8" i="1"/>
  <c r="F6" i="3" s="1"/>
  <c r="AG9" i="5"/>
  <c r="AJ9" i="5" s="1"/>
  <c r="P12" i="1"/>
  <c r="U11" i="1"/>
  <c r="W11" i="1" s="1"/>
  <c r="C9" i="3"/>
  <c r="D10" i="1"/>
  <c r="B7" i="3"/>
  <c r="D7" i="3" s="1"/>
  <c r="I9" i="1"/>
  <c r="D11" i="5"/>
  <c r="I10" i="5"/>
  <c r="AC13" i="4"/>
  <c r="T13" i="4"/>
  <c r="R13" i="4"/>
  <c r="S13" i="4" s="1"/>
  <c r="R13" i="5"/>
  <c r="S13" i="5" s="1"/>
  <c r="T13" i="5"/>
  <c r="AC13" i="5"/>
  <c r="X10" i="1"/>
  <c r="V12" i="5"/>
  <c r="X12" i="5" s="1"/>
  <c r="K9" i="4"/>
  <c r="J9" i="4"/>
  <c r="AL8" i="4"/>
  <c r="AK8" i="4"/>
  <c r="AJ8" i="4"/>
  <c r="AH8" i="4"/>
  <c r="AB10" i="4"/>
  <c r="AD10" i="4" s="1"/>
  <c r="E10" i="4"/>
  <c r="H10" i="4"/>
  <c r="B23" i="1" l="1"/>
  <c r="N22" i="1"/>
  <c r="C22" i="1"/>
  <c r="A20" i="3"/>
  <c r="O21" i="1"/>
  <c r="Q21" i="1" s="1"/>
  <c r="Z21" i="1"/>
  <c r="AH8" i="1"/>
  <c r="AK8" i="1"/>
  <c r="AH9" i="5"/>
  <c r="AJ8" i="1"/>
  <c r="AL8" i="1"/>
  <c r="AK9" i="5"/>
  <c r="V11" i="1"/>
  <c r="X11" i="1" s="1"/>
  <c r="Z23" i="5"/>
  <c r="O23" i="5"/>
  <c r="Q23" i="5" s="1"/>
  <c r="B25" i="5"/>
  <c r="N24" i="5"/>
  <c r="C24" i="5"/>
  <c r="C24" i="4"/>
  <c r="B25" i="4"/>
  <c r="N24" i="4"/>
  <c r="O23" i="4"/>
  <c r="Q23" i="4" s="1"/>
  <c r="Z23" i="4"/>
  <c r="AL9" i="5"/>
  <c r="U13" i="5"/>
  <c r="W13" i="5" s="1"/>
  <c r="P14" i="5"/>
  <c r="AC12" i="1"/>
  <c r="T12" i="1"/>
  <c r="R12" i="1"/>
  <c r="S12" i="1" s="1"/>
  <c r="E10" i="1"/>
  <c r="H10" i="1"/>
  <c r="AB10" i="1"/>
  <c r="AD10" i="1" s="1"/>
  <c r="K9" i="1"/>
  <c r="J9" i="1"/>
  <c r="U13" i="4"/>
  <c r="W13" i="4" s="1"/>
  <c r="P14" i="4"/>
  <c r="AB11" i="5"/>
  <c r="AD11" i="5" s="1"/>
  <c r="E11" i="5"/>
  <c r="H11" i="5"/>
  <c r="K10" i="5"/>
  <c r="J10" i="5"/>
  <c r="F10" i="4"/>
  <c r="G10" i="4" s="1"/>
  <c r="AF9" i="4"/>
  <c r="AE9" i="4"/>
  <c r="L9" i="4"/>
  <c r="AM8" i="4"/>
  <c r="Z22" i="1" l="1"/>
  <c r="O22" i="1"/>
  <c r="Q22" i="1" s="1"/>
  <c r="B24" i="1"/>
  <c r="N23" i="1"/>
  <c r="A21" i="3"/>
  <c r="C23" i="1"/>
  <c r="AM8" i="1"/>
  <c r="AM9" i="5"/>
  <c r="O24" i="5"/>
  <c r="Q24" i="5" s="1"/>
  <c r="Z24" i="5"/>
  <c r="Z24" i="4"/>
  <c r="O24" i="4"/>
  <c r="Q24" i="4" s="1"/>
  <c r="N25" i="4"/>
  <c r="C25" i="4"/>
  <c r="B26" i="4"/>
  <c r="N25" i="5"/>
  <c r="C25" i="5"/>
  <c r="B26" i="5"/>
  <c r="U12" i="1"/>
  <c r="W12" i="1" s="1"/>
  <c r="C10" i="3"/>
  <c r="P13" i="1"/>
  <c r="R14" i="5"/>
  <c r="S14" i="5" s="1"/>
  <c r="T14" i="5"/>
  <c r="AC14" i="5"/>
  <c r="AE10" i="5"/>
  <c r="L10" i="5"/>
  <c r="V13" i="5"/>
  <c r="X13" i="5" s="1"/>
  <c r="AF10" i="5"/>
  <c r="AC14" i="4"/>
  <c r="T14" i="4"/>
  <c r="R14" i="4"/>
  <c r="S14" i="4" s="1"/>
  <c r="L9" i="1"/>
  <c r="AE9" i="1"/>
  <c r="V13" i="4"/>
  <c r="X13" i="4" s="1"/>
  <c r="F11" i="5"/>
  <c r="G11" i="5" s="1"/>
  <c r="AG9" i="4"/>
  <c r="AK9" i="4" s="1"/>
  <c r="AF9" i="1"/>
  <c r="F10" i="1"/>
  <c r="G10" i="1" s="1"/>
  <c r="D11" i="4"/>
  <c r="I10" i="4"/>
  <c r="C24" i="1" l="1"/>
  <c r="B25" i="1"/>
  <c r="N24" i="1"/>
  <c r="A22" i="3"/>
  <c r="O23" i="1"/>
  <c r="Q23" i="1" s="1"/>
  <c r="Z23" i="1"/>
  <c r="AG9" i="1"/>
  <c r="F7" i="3" s="1"/>
  <c r="AH9" i="4"/>
  <c r="C26" i="4"/>
  <c r="N26" i="4"/>
  <c r="B27" i="4"/>
  <c r="O25" i="5"/>
  <c r="Q25" i="5" s="1"/>
  <c r="Z25" i="5"/>
  <c r="Z25" i="4"/>
  <c r="O25" i="4"/>
  <c r="Q25" i="4" s="1"/>
  <c r="B27" i="5"/>
  <c r="N26" i="5"/>
  <c r="C26" i="5"/>
  <c r="AG10" i="5"/>
  <c r="AH10" i="5" s="1"/>
  <c r="D12" i="5"/>
  <c r="I11" i="5"/>
  <c r="P15" i="5"/>
  <c r="U14" i="5"/>
  <c r="W14" i="5" s="1"/>
  <c r="R13" i="1"/>
  <c r="S13" i="1" s="1"/>
  <c r="AC13" i="1"/>
  <c r="T13" i="1"/>
  <c r="AJ9" i="4"/>
  <c r="V12" i="1"/>
  <c r="X12" i="1" s="1"/>
  <c r="I10" i="1"/>
  <c r="D11" i="1"/>
  <c r="B8" i="3"/>
  <c r="D8" i="3" s="1"/>
  <c r="P15" i="4"/>
  <c r="U14" i="4"/>
  <c r="W14" i="4" s="1"/>
  <c r="AL9" i="4"/>
  <c r="E11" i="4"/>
  <c r="F11" i="4" s="1"/>
  <c r="H11" i="4"/>
  <c r="AB11" i="4"/>
  <c r="AD11" i="4" s="1"/>
  <c r="K10" i="4"/>
  <c r="J10" i="4"/>
  <c r="O24" i="1" l="1"/>
  <c r="Q24" i="1" s="1"/>
  <c r="Z24" i="1"/>
  <c r="B26" i="1"/>
  <c r="C25" i="1"/>
  <c r="N25" i="1"/>
  <c r="A23" i="3"/>
  <c r="AL9" i="1"/>
  <c r="AJ9" i="1"/>
  <c r="AK9" i="1"/>
  <c r="AH9" i="1"/>
  <c r="AM9" i="4"/>
  <c r="Z26" i="5"/>
  <c r="O26" i="5"/>
  <c r="Q26" i="5" s="1"/>
  <c r="V14" i="4"/>
  <c r="X14" i="4" s="1"/>
  <c r="B28" i="5"/>
  <c r="C27" i="5"/>
  <c r="N27" i="5"/>
  <c r="N27" i="4"/>
  <c r="B28" i="4"/>
  <c r="C27" i="4"/>
  <c r="Z26" i="4"/>
  <c r="O26" i="4"/>
  <c r="Q26" i="4" s="1"/>
  <c r="AJ10" i="5"/>
  <c r="AK10" i="5"/>
  <c r="AL10" i="5"/>
  <c r="V14" i="5"/>
  <c r="X14" i="5" s="1"/>
  <c r="H12" i="5"/>
  <c r="AB12" i="5"/>
  <c r="AD12" i="5" s="1"/>
  <c r="E12" i="5"/>
  <c r="F12" i="5" s="1"/>
  <c r="R15" i="5"/>
  <c r="S15" i="5" s="1"/>
  <c r="T15" i="5"/>
  <c r="AC15" i="5"/>
  <c r="K10" i="1"/>
  <c r="J10" i="1"/>
  <c r="R15" i="4"/>
  <c r="S15" i="4" s="1"/>
  <c r="AC15" i="4"/>
  <c r="T15" i="4"/>
  <c r="U13" i="1"/>
  <c r="W13" i="1" s="1"/>
  <c r="P14" i="1"/>
  <c r="C11" i="3"/>
  <c r="K11" i="5"/>
  <c r="AF11" i="5" s="1"/>
  <c r="J11" i="5"/>
  <c r="E11" i="1"/>
  <c r="H11" i="1"/>
  <c r="AB11" i="1"/>
  <c r="AD11" i="1" s="1"/>
  <c r="L10" i="4"/>
  <c r="AE10" i="4"/>
  <c r="AF10" i="4"/>
  <c r="G11" i="4"/>
  <c r="B27" i="1" l="1"/>
  <c r="C26" i="1"/>
  <c r="N26" i="1"/>
  <c r="A24" i="3"/>
  <c r="Z25" i="1"/>
  <c r="O25" i="1"/>
  <c r="Q25" i="1" s="1"/>
  <c r="AM9" i="1"/>
  <c r="C28" i="4"/>
  <c r="N28" i="4"/>
  <c r="B29" i="4"/>
  <c r="O27" i="5"/>
  <c r="Q27" i="5" s="1"/>
  <c r="Z27" i="5"/>
  <c r="Z27" i="4"/>
  <c r="O27" i="4"/>
  <c r="Q27" i="4" s="1"/>
  <c r="N28" i="5"/>
  <c r="C28" i="5"/>
  <c r="B29" i="5"/>
  <c r="AM10" i="5"/>
  <c r="U15" i="4"/>
  <c r="W15" i="4" s="1"/>
  <c r="P16" i="4"/>
  <c r="U15" i="5"/>
  <c r="W15" i="5" s="1"/>
  <c r="P16" i="5"/>
  <c r="G12" i="5"/>
  <c r="F11" i="1"/>
  <c r="G11" i="1" s="1"/>
  <c r="AC14" i="1"/>
  <c r="T14" i="1"/>
  <c r="R14" i="1"/>
  <c r="S14" i="1" s="1"/>
  <c r="AF10" i="1"/>
  <c r="AE10" i="1"/>
  <c r="L10" i="1"/>
  <c r="V13" i="1"/>
  <c r="X13" i="1" s="1"/>
  <c r="AE11" i="5"/>
  <c r="AG11" i="5" s="1"/>
  <c r="L11" i="5"/>
  <c r="I11" i="4"/>
  <c r="D12" i="4"/>
  <c r="AG10" i="4"/>
  <c r="Z26" i="1" l="1"/>
  <c r="O26" i="1"/>
  <c r="Q26" i="1" s="1"/>
  <c r="B28" i="1"/>
  <c r="C27" i="1"/>
  <c r="A25" i="3"/>
  <c r="N27" i="1"/>
  <c r="V15" i="4"/>
  <c r="X15" i="4" s="1"/>
  <c r="AG10" i="1"/>
  <c r="AJ10" i="1" s="1"/>
  <c r="C29" i="5"/>
  <c r="B30" i="5"/>
  <c r="N29" i="5"/>
  <c r="Z28" i="4"/>
  <c r="O28" i="4"/>
  <c r="Q28" i="4" s="1"/>
  <c r="C29" i="4"/>
  <c r="B30" i="4"/>
  <c r="N29" i="4"/>
  <c r="V15" i="5"/>
  <c r="X15" i="5" s="1"/>
  <c r="O28" i="5"/>
  <c r="Q28" i="5" s="1"/>
  <c r="Z28" i="5"/>
  <c r="D12" i="1"/>
  <c r="I11" i="1"/>
  <c r="B9" i="3"/>
  <c r="D9" i="3" s="1"/>
  <c r="T16" i="5"/>
  <c r="AC16" i="5"/>
  <c r="R16" i="5"/>
  <c r="S16" i="5" s="1"/>
  <c r="T16" i="4"/>
  <c r="AC16" i="4"/>
  <c r="R16" i="4"/>
  <c r="S16" i="4" s="1"/>
  <c r="D13" i="5"/>
  <c r="I12" i="5"/>
  <c r="P15" i="1"/>
  <c r="C12" i="3"/>
  <c r="U14" i="1"/>
  <c r="W14" i="1" s="1"/>
  <c r="AK11" i="5"/>
  <c r="AJ11" i="5"/>
  <c r="AL11" i="5"/>
  <c r="AH11" i="5"/>
  <c r="K11" i="4"/>
  <c r="AF11" i="4" s="1"/>
  <c r="J11" i="4"/>
  <c r="H12" i="4"/>
  <c r="AB12" i="4"/>
  <c r="AD12" i="4" s="1"/>
  <c r="E12" i="4"/>
  <c r="F12" i="4" s="1"/>
  <c r="AL10" i="4"/>
  <c r="AJ10" i="4"/>
  <c r="AK10" i="4"/>
  <c r="AH10" i="4"/>
  <c r="N28" i="1" l="1"/>
  <c r="A26" i="3"/>
  <c r="B29" i="1"/>
  <c r="C28" i="1"/>
  <c r="Z27" i="1"/>
  <c r="O27" i="1"/>
  <c r="Q27" i="1" s="1"/>
  <c r="AH10" i="1"/>
  <c r="F8" i="3"/>
  <c r="AK10" i="1"/>
  <c r="AL10" i="1"/>
  <c r="O29" i="5"/>
  <c r="Q29" i="5" s="1"/>
  <c r="Z29" i="5"/>
  <c r="C30" i="5"/>
  <c r="B31" i="5"/>
  <c r="N30" i="5"/>
  <c r="O29" i="4"/>
  <c r="Q29" i="4" s="1"/>
  <c r="Z29" i="4"/>
  <c r="V14" i="1"/>
  <c r="X14" i="1" s="1"/>
  <c r="C30" i="4"/>
  <c r="B31" i="4"/>
  <c r="N30" i="4"/>
  <c r="U16" i="5"/>
  <c r="W16" i="5" s="1"/>
  <c r="P17" i="5"/>
  <c r="AB12" i="1"/>
  <c r="AD12" i="1" s="1"/>
  <c r="E12" i="1"/>
  <c r="F12" i="1" s="1"/>
  <c r="H12" i="1"/>
  <c r="U16" i="4"/>
  <c r="W16" i="4" s="1"/>
  <c r="P17" i="4"/>
  <c r="K11" i="1"/>
  <c r="AF11" i="1" s="1"/>
  <c r="J11" i="1"/>
  <c r="T15" i="1"/>
  <c r="AC15" i="1"/>
  <c r="R15" i="1"/>
  <c r="S15" i="1" s="1"/>
  <c r="AM11" i="5"/>
  <c r="AB13" i="5"/>
  <c r="AD13" i="5" s="1"/>
  <c r="H13" i="5"/>
  <c r="E13" i="5"/>
  <c r="F13" i="5" s="1"/>
  <c r="K12" i="5"/>
  <c r="AF12" i="5" s="1"/>
  <c r="J12" i="5"/>
  <c r="L11" i="4"/>
  <c r="AE11" i="4"/>
  <c r="AG11" i="4" s="1"/>
  <c r="G12" i="4"/>
  <c r="AM10" i="4"/>
  <c r="B30" i="1" l="1"/>
  <c r="N29" i="1"/>
  <c r="C29" i="1"/>
  <c r="A27" i="3"/>
  <c r="Z28" i="1"/>
  <c r="O28" i="1"/>
  <c r="Q28" i="1" s="1"/>
  <c r="AM10" i="1"/>
  <c r="V16" i="4"/>
  <c r="X16" i="4" s="1"/>
  <c r="N31" i="4"/>
  <c r="C31" i="4"/>
  <c r="B32" i="4"/>
  <c r="Z30" i="4"/>
  <c r="O30" i="4"/>
  <c r="Q30" i="4" s="1"/>
  <c r="Z30" i="5"/>
  <c r="O30" i="5"/>
  <c r="Q30" i="5" s="1"/>
  <c r="C31" i="5"/>
  <c r="B32" i="5"/>
  <c r="N31" i="5"/>
  <c r="P16" i="1"/>
  <c r="U15" i="1"/>
  <c r="W15" i="1" s="1"/>
  <c r="C13" i="3"/>
  <c r="R17" i="5"/>
  <c r="S17" i="5" s="1"/>
  <c r="T17" i="5"/>
  <c r="AC17" i="5"/>
  <c r="R17" i="4"/>
  <c r="S17" i="4" s="1"/>
  <c r="T17" i="4"/>
  <c r="AC17" i="4"/>
  <c r="L11" i="1"/>
  <c r="AE11" i="1"/>
  <c r="AG11" i="1" s="1"/>
  <c r="L12" i="5"/>
  <c r="AE12" i="5"/>
  <c r="AG12" i="5" s="1"/>
  <c r="G13" i="5"/>
  <c r="V16" i="5"/>
  <c r="X16" i="5" s="1"/>
  <c r="G12" i="1"/>
  <c r="AJ11" i="4"/>
  <c r="AK11" i="4"/>
  <c r="AL11" i="4"/>
  <c r="AH11" i="4"/>
  <c r="D13" i="4"/>
  <c r="I12" i="4"/>
  <c r="O29" i="1" l="1"/>
  <c r="Q29" i="1" s="1"/>
  <c r="Z29" i="1"/>
  <c r="B31" i="1"/>
  <c r="N30" i="1"/>
  <c r="A28" i="3"/>
  <c r="C30" i="1"/>
  <c r="C32" i="5"/>
  <c r="B33" i="5"/>
  <c r="N32" i="5"/>
  <c r="B33" i="4"/>
  <c r="C32" i="4"/>
  <c r="N32" i="4"/>
  <c r="Z31" i="5"/>
  <c r="O31" i="5"/>
  <c r="Q31" i="5" s="1"/>
  <c r="Z31" i="4"/>
  <c r="O31" i="4"/>
  <c r="Q31" i="4" s="1"/>
  <c r="U17" i="4"/>
  <c r="W17" i="4" s="1"/>
  <c r="P18" i="4"/>
  <c r="AJ12" i="5"/>
  <c r="AK12" i="5"/>
  <c r="AL12" i="5"/>
  <c r="AH12" i="5"/>
  <c r="T16" i="1"/>
  <c r="AC16" i="1"/>
  <c r="R16" i="1"/>
  <c r="S16" i="1" s="1"/>
  <c r="D14" i="5"/>
  <c r="I13" i="5"/>
  <c r="U17" i="5"/>
  <c r="W17" i="5" s="1"/>
  <c r="P18" i="5"/>
  <c r="V15" i="1"/>
  <c r="X15" i="1" s="1"/>
  <c r="AK11" i="1"/>
  <c r="AJ11" i="1"/>
  <c r="F9" i="3"/>
  <c r="AL11" i="1"/>
  <c r="AH11" i="1"/>
  <c r="B10" i="3"/>
  <c r="D10" i="3" s="1"/>
  <c r="D13" i="1"/>
  <c r="I12" i="1"/>
  <c r="AM11" i="4"/>
  <c r="E13" i="4"/>
  <c r="F13" i="4" s="1"/>
  <c r="H13" i="4"/>
  <c r="AB13" i="4"/>
  <c r="AD13" i="4" s="1"/>
  <c r="K12" i="4"/>
  <c r="AF12" i="4" s="1"/>
  <c r="J12" i="4"/>
  <c r="B32" i="1" l="1"/>
  <c r="N31" i="1"/>
  <c r="A29" i="3"/>
  <c r="C31" i="1"/>
  <c r="Z30" i="1"/>
  <c r="O30" i="1"/>
  <c r="Q30" i="1" s="1"/>
  <c r="V17" i="4"/>
  <c r="X17" i="4" s="1"/>
  <c r="Z32" i="4"/>
  <c r="O32" i="4"/>
  <c r="Q32" i="4" s="1"/>
  <c r="C33" i="5"/>
  <c r="B34" i="5"/>
  <c r="N33" i="5"/>
  <c r="N33" i="4"/>
  <c r="C33" i="4"/>
  <c r="B34" i="4"/>
  <c r="Z32" i="5"/>
  <c r="O32" i="5"/>
  <c r="Q32" i="5" s="1"/>
  <c r="V17" i="5"/>
  <c r="X17" i="5" s="1"/>
  <c r="AM12" i="5"/>
  <c r="R18" i="4"/>
  <c r="S18" i="4" s="1"/>
  <c r="AC18" i="4"/>
  <c r="T18" i="4"/>
  <c r="K12" i="1"/>
  <c r="AF12" i="1" s="1"/>
  <c r="J12" i="1"/>
  <c r="AM11" i="1"/>
  <c r="C14" i="3"/>
  <c r="P17" i="1"/>
  <c r="U16" i="1"/>
  <c r="W16" i="1" s="1"/>
  <c r="H14" i="5"/>
  <c r="AB14" i="5"/>
  <c r="AD14" i="5" s="1"/>
  <c r="E14" i="5"/>
  <c r="F14" i="5" s="1"/>
  <c r="K13" i="5"/>
  <c r="AF13" i="5" s="1"/>
  <c r="J13" i="5"/>
  <c r="E13" i="1"/>
  <c r="F13" i="1" s="1"/>
  <c r="AB13" i="1"/>
  <c r="AD13" i="1" s="1"/>
  <c r="H13" i="1"/>
  <c r="R18" i="5"/>
  <c r="S18" i="5" s="1"/>
  <c r="T18" i="5"/>
  <c r="AC18" i="5"/>
  <c r="G13" i="4"/>
  <c r="L12" i="4"/>
  <c r="AE12" i="4"/>
  <c r="AG12" i="4" s="1"/>
  <c r="O31" i="1" l="1"/>
  <c r="Q31" i="1" s="1"/>
  <c r="Z31" i="1"/>
  <c r="B33" i="1"/>
  <c r="N32" i="1"/>
  <c r="A30" i="3"/>
  <c r="C32" i="1"/>
  <c r="V16" i="1"/>
  <c r="X16" i="1" s="1"/>
  <c r="O33" i="5"/>
  <c r="Q33" i="5" s="1"/>
  <c r="Z33" i="5"/>
  <c r="C34" i="4"/>
  <c r="B35" i="4"/>
  <c r="N34" i="4"/>
  <c r="C34" i="5"/>
  <c r="B35" i="5"/>
  <c r="N34" i="5"/>
  <c r="Z33" i="4"/>
  <c r="O33" i="4"/>
  <c r="Q33" i="4" s="1"/>
  <c r="P19" i="4"/>
  <c r="U18" i="4"/>
  <c r="W18" i="4" s="1"/>
  <c r="R17" i="1"/>
  <c r="S17" i="1" s="1"/>
  <c r="AC17" i="1"/>
  <c r="T17" i="1"/>
  <c r="U18" i="5"/>
  <c r="W18" i="5" s="1"/>
  <c r="P19" i="5"/>
  <c r="G14" i="5"/>
  <c r="L12" i="1"/>
  <c r="AE12" i="1"/>
  <c r="AG12" i="1" s="1"/>
  <c r="L13" i="5"/>
  <c r="AE13" i="5"/>
  <c r="AG13" i="5" s="1"/>
  <c r="G13" i="1"/>
  <c r="D14" i="4"/>
  <c r="I13" i="4"/>
  <c r="AJ12" i="4"/>
  <c r="AK12" i="4"/>
  <c r="AL12" i="4"/>
  <c r="AH12" i="4"/>
  <c r="Z32" i="1" l="1"/>
  <c r="O32" i="1"/>
  <c r="Q32" i="1" s="1"/>
  <c r="C33" i="1"/>
  <c r="A31" i="3"/>
  <c r="N33" i="1"/>
  <c r="B34" i="1"/>
  <c r="Z34" i="5"/>
  <c r="O34" i="5"/>
  <c r="Q34" i="5" s="1"/>
  <c r="N35" i="4"/>
  <c r="C35" i="4"/>
  <c r="B36" i="4"/>
  <c r="B36" i="5"/>
  <c r="N35" i="5"/>
  <c r="C35" i="5"/>
  <c r="O34" i="4"/>
  <c r="Q34" i="4" s="1"/>
  <c r="Z34" i="4"/>
  <c r="V18" i="5"/>
  <c r="X18" i="5" s="1"/>
  <c r="T19" i="4"/>
  <c r="AC19" i="4"/>
  <c r="R19" i="4"/>
  <c r="S19" i="4" s="1"/>
  <c r="AJ13" i="5"/>
  <c r="AK13" i="5"/>
  <c r="AL13" i="5"/>
  <c r="AH13" i="5"/>
  <c r="U17" i="1"/>
  <c r="W17" i="1" s="1"/>
  <c r="P18" i="1"/>
  <c r="C15" i="3"/>
  <c r="T19" i="5"/>
  <c r="AC19" i="5"/>
  <c r="R19" i="5"/>
  <c r="S19" i="5" s="1"/>
  <c r="I14" i="5"/>
  <c r="D15" i="5"/>
  <c r="AK12" i="1"/>
  <c r="AJ12" i="1"/>
  <c r="AL12" i="1"/>
  <c r="F10" i="3"/>
  <c r="AH12" i="1"/>
  <c r="V18" i="4"/>
  <c r="X18" i="4" s="1"/>
  <c r="D14" i="1"/>
  <c r="I13" i="1"/>
  <c r="B11" i="3"/>
  <c r="D11" i="3" s="1"/>
  <c r="E14" i="4"/>
  <c r="F14" i="4" s="1"/>
  <c r="H14" i="4"/>
  <c r="AB14" i="4"/>
  <c r="AD14" i="4" s="1"/>
  <c r="K13" i="4"/>
  <c r="AF13" i="4" s="1"/>
  <c r="J13" i="4"/>
  <c r="AM12" i="4"/>
  <c r="B35" i="1" l="1"/>
  <c r="C34" i="1"/>
  <c r="N34" i="1"/>
  <c r="A32" i="3"/>
  <c r="O33" i="1"/>
  <c r="Q33" i="1" s="1"/>
  <c r="Z33" i="1"/>
  <c r="V17" i="1"/>
  <c r="X17" i="1" s="1"/>
  <c r="C36" i="5"/>
  <c r="B37" i="5"/>
  <c r="N36" i="5"/>
  <c r="N36" i="4"/>
  <c r="B37" i="4"/>
  <c r="C36" i="4"/>
  <c r="Z35" i="4"/>
  <c r="O35" i="4"/>
  <c r="Q35" i="4" s="1"/>
  <c r="Z35" i="5"/>
  <c r="O35" i="5"/>
  <c r="Q35" i="5" s="1"/>
  <c r="AM13" i="5"/>
  <c r="K14" i="5"/>
  <c r="AF14" i="5" s="1"/>
  <c r="J14" i="5"/>
  <c r="R18" i="1"/>
  <c r="S18" i="1" s="1"/>
  <c r="AC18" i="1"/>
  <c r="T18" i="1"/>
  <c r="E14" i="1"/>
  <c r="F14" i="1" s="1"/>
  <c r="AB14" i="1"/>
  <c r="AD14" i="1" s="1"/>
  <c r="H14" i="1"/>
  <c r="AM12" i="1"/>
  <c r="E15" i="5"/>
  <c r="F15" i="5" s="1"/>
  <c r="AB15" i="5"/>
  <c r="AD15" i="5" s="1"/>
  <c r="H15" i="5"/>
  <c r="U19" i="5"/>
  <c r="W19" i="5" s="1"/>
  <c r="P20" i="5"/>
  <c r="U19" i="4"/>
  <c r="W19" i="4" s="1"/>
  <c r="P20" i="4"/>
  <c r="K13" i="1"/>
  <c r="AF13" i="1" s="1"/>
  <c r="J13" i="1"/>
  <c r="G14" i="4"/>
  <c r="L13" i="4"/>
  <c r="AE13" i="4"/>
  <c r="AG13" i="4" s="1"/>
  <c r="Z34" i="1" l="1"/>
  <c r="O34" i="1"/>
  <c r="Q34" i="1" s="1"/>
  <c r="A33" i="3"/>
  <c r="B36" i="1"/>
  <c r="C35" i="1"/>
  <c r="N35" i="1"/>
  <c r="G15" i="5"/>
  <c r="D16" i="5" s="1"/>
  <c r="N37" i="4"/>
  <c r="C37" i="4"/>
  <c r="B38" i="4"/>
  <c r="Z36" i="4"/>
  <c r="O36" i="4"/>
  <c r="Q36" i="4" s="1"/>
  <c r="O36" i="5"/>
  <c r="Q36" i="5" s="1"/>
  <c r="Z36" i="5"/>
  <c r="V19" i="4"/>
  <c r="X19" i="4" s="1"/>
  <c r="B38" i="5"/>
  <c r="N37" i="5"/>
  <c r="C37" i="5"/>
  <c r="G14" i="1"/>
  <c r="AE14" i="5"/>
  <c r="AG14" i="5" s="1"/>
  <c r="L14" i="5"/>
  <c r="U18" i="1"/>
  <c r="W18" i="1" s="1"/>
  <c r="P19" i="1"/>
  <c r="C16" i="3"/>
  <c r="AC20" i="5"/>
  <c r="T20" i="5"/>
  <c r="R20" i="5"/>
  <c r="S20" i="5" s="1"/>
  <c r="R20" i="4"/>
  <c r="S20" i="4" s="1"/>
  <c r="AC20" i="4"/>
  <c r="T20" i="4"/>
  <c r="L13" i="1"/>
  <c r="AE13" i="1"/>
  <c r="AG13" i="1" s="1"/>
  <c r="V19" i="5"/>
  <c r="X19" i="5" s="1"/>
  <c r="D15" i="4"/>
  <c r="I14" i="4"/>
  <c r="AJ13" i="4"/>
  <c r="AL13" i="4"/>
  <c r="AK13" i="4"/>
  <c r="AH13" i="4"/>
  <c r="C36" i="1" l="1"/>
  <c r="N36" i="1"/>
  <c r="A34" i="3"/>
  <c r="B37" i="1"/>
  <c r="O35" i="1"/>
  <c r="Q35" i="1" s="1"/>
  <c r="Z35" i="1"/>
  <c r="I15" i="5"/>
  <c r="K15" i="5" s="1"/>
  <c r="AF15" i="5" s="1"/>
  <c r="V18" i="1"/>
  <c r="X18" i="1" s="1"/>
  <c r="N38" i="5"/>
  <c r="C38" i="5"/>
  <c r="B39" i="5"/>
  <c r="C38" i="4"/>
  <c r="B39" i="4"/>
  <c r="N38" i="4"/>
  <c r="AM13" i="4"/>
  <c r="O37" i="5"/>
  <c r="Q37" i="5" s="1"/>
  <c r="Z37" i="5"/>
  <c r="O37" i="4"/>
  <c r="Q37" i="4" s="1"/>
  <c r="Z37" i="4"/>
  <c r="P21" i="4"/>
  <c r="U20" i="4"/>
  <c r="W20" i="4" s="1"/>
  <c r="B12" i="3"/>
  <c r="D12" i="3" s="1"/>
  <c r="I14" i="1"/>
  <c r="D15" i="1"/>
  <c r="AB16" i="5"/>
  <c r="AD16" i="5" s="1"/>
  <c r="H16" i="5"/>
  <c r="E16" i="5"/>
  <c r="F16" i="5" s="1"/>
  <c r="AK14" i="5"/>
  <c r="AJ14" i="5"/>
  <c r="AL14" i="5"/>
  <c r="AH14" i="5"/>
  <c r="U20" i="5"/>
  <c r="W20" i="5" s="1"/>
  <c r="P21" i="5"/>
  <c r="AC19" i="1"/>
  <c r="T19" i="1"/>
  <c r="R19" i="1"/>
  <c r="S19" i="1" s="1"/>
  <c r="AK13" i="1"/>
  <c r="AJ13" i="1"/>
  <c r="F11" i="3"/>
  <c r="AL13" i="1"/>
  <c r="AH13" i="1"/>
  <c r="H15" i="4"/>
  <c r="AB15" i="4"/>
  <c r="AD15" i="4" s="1"/>
  <c r="E15" i="4"/>
  <c r="F15" i="4" s="1"/>
  <c r="K14" i="4"/>
  <c r="AF14" i="4" s="1"/>
  <c r="J14" i="4"/>
  <c r="N37" i="1" l="1"/>
  <c r="C37" i="1"/>
  <c r="B38" i="1"/>
  <c r="A35" i="3"/>
  <c r="O36" i="1"/>
  <c r="Q36" i="1" s="1"/>
  <c r="Z36" i="1"/>
  <c r="J15" i="5"/>
  <c r="B40" i="5"/>
  <c r="N39" i="5"/>
  <c r="C39" i="5"/>
  <c r="Z38" i="5"/>
  <c r="O38" i="5"/>
  <c r="Q38" i="5" s="1"/>
  <c r="Z38" i="4"/>
  <c r="O38" i="4"/>
  <c r="Q38" i="4" s="1"/>
  <c r="N39" i="4"/>
  <c r="B40" i="4"/>
  <c r="C39" i="4"/>
  <c r="C17" i="3"/>
  <c r="P20" i="1"/>
  <c r="U19" i="1"/>
  <c r="W19" i="1" s="1"/>
  <c r="AC21" i="4"/>
  <c r="T21" i="4"/>
  <c r="R21" i="4"/>
  <c r="S21" i="4" s="1"/>
  <c r="G16" i="5"/>
  <c r="K14" i="1"/>
  <c r="AF14" i="1" s="1"/>
  <c r="J14" i="1"/>
  <c r="AM13" i="1"/>
  <c r="AB15" i="1"/>
  <c r="AD15" i="1" s="1"/>
  <c r="H15" i="1"/>
  <c r="E15" i="1"/>
  <c r="F15" i="1" s="1"/>
  <c r="G15" i="1" s="1"/>
  <c r="V20" i="4"/>
  <c r="X20" i="4" s="1"/>
  <c r="T21" i="5"/>
  <c r="AC21" i="5"/>
  <c r="R21" i="5"/>
  <c r="S21" i="5" s="1"/>
  <c r="AM14" i="5"/>
  <c r="V20" i="5"/>
  <c r="X20" i="5" s="1"/>
  <c r="G15" i="4"/>
  <c r="AE14" i="4"/>
  <c r="AG14" i="4" s="1"/>
  <c r="L14" i="4"/>
  <c r="B39" i="1" l="1"/>
  <c r="A36" i="3"/>
  <c r="C38" i="1"/>
  <c r="N38" i="1"/>
  <c r="Z37" i="1"/>
  <c r="O37" i="1"/>
  <c r="Q37" i="1" s="1"/>
  <c r="V19" i="1"/>
  <c r="X19" i="1" s="1"/>
  <c r="AE15" i="5"/>
  <c r="AG15" i="5" s="1"/>
  <c r="L15" i="5"/>
  <c r="Z39" i="4"/>
  <c r="O39" i="4"/>
  <c r="Q39" i="4" s="1"/>
  <c r="B41" i="4"/>
  <c r="C40" i="4"/>
  <c r="N40" i="4"/>
  <c r="O39" i="5"/>
  <c r="Q39" i="5" s="1"/>
  <c r="Z39" i="5"/>
  <c r="C40" i="5"/>
  <c r="B41" i="5"/>
  <c r="N40" i="5"/>
  <c r="I15" i="1"/>
  <c r="K15" i="1" s="1"/>
  <c r="AF15" i="1" s="1"/>
  <c r="D16" i="1"/>
  <c r="B13" i="3"/>
  <c r="D13" i="3" s="1"/>
  <c r="U21" i="5"/>
  <c r="W21" i="5" s="1"/>
  <c r="P22" i="5"/>
  <c r="AC20" i="1"/>
  <c r="T20" i="1"/>
  <c r="R20" i="1"/>
  <c r="S20" i="1" s="1"/>
  <c r="U21" i="4"/>
  <c r="W21" i="4" s="1"/>
  <c r="P22" i="4"/>
  <c r="AE14" i="1"/>
  <c r="AG14" i="1" s="1"/>
  <c r="L14" i="1"/>
  <c r="D17" i="5"/>
  <c r="I16" i="5"/>
  <c r="D16" i="4"/>
  <c r="I15" i="4"/>
  <c r="AK14" i="4"/>
  <c r="AL14" i="4"/>
  <c r="AJ14" i="4"/>
  <c r="AH14" i="4"/>
  <c r="Z38" i="1" l="1"/>
  <c r="O38" i="1"/>
  <c r="Q38" i="1" s="1"/>
  <c r="A37" i="3"/>
  <c r="C39" i="1"/>
  <c r="B40" i="1"/>
  <c r="N39" i="1"/>
  <c r="V21" i="4"/>
  <c r="X21" i="4" s="1"/>
  <c r="AK15" i="5"/>
  <c r="AL15" i="5"/>
  <c r="AJ15" i="5"/>
  <c r="AH15" i="5"/>
  <c r="V21" i="5"/>
  <c r="X21" i="5" s="1"/>
  <c r="Z40" i="5"/>
  <c r="O40" i="5"/>
  <c r="Q40" i="5" s="1"/>
  <c r="O40" i="4"/>
  <c r="Q40" i="4" s="1"/>
  <c r="Z40" i="4"/>
  <c r="N41" i="4"/>
  <c r="C41" i="4"/>
  <c r="C41" i="5"/>
  <c r="N41" i="5"/>
  <c r="P21" i="1"/>
  <c r="U20" i="1"/>
  <c r="W20" i="1" s="1"/>
  <c r="C18" i="3"/>
  <c r="H17" i="5"/>
  <c r="E17" i="5"/>
  <c r="F17" i="5" s="1"/>
  <c r="G17" i="5" s="1"/>
  <c r="AB17" i="5"/>
  <c r="AD17" i="5" s="1"/>
  <c r="K16" i="5"/>
  <c r="AF16" i="5" s="1"/>
  <c r="J16" i="5"/>
  <c r="T22" i="4"/>
  <c r="AC22" i="4"/>
  <c r="R22" i="4"/>
  <c r="S22" i="4" s="1"/>
  <c r="AC22" i="5"/>
  <c r="T22" i="5"/>
  <c r="R22" i="5"/>
  <c r="S22" i="5" s="1"/>
  <c r="J15" i="1"/>
  <c r="E16" i="1"/>
  <c r="F16" i="1" s="1"/>
  <c r="AB16" i="1"/>
  <c r="AD16" i="1" s="1"/>
  <c r="H16" i="1"/>
  <c r="F12" i="3"/>
  <c r="AK14" i="1"/>
  <c r="AL14" i="1"/>
  <c r="AJ14" i="1"/>
  <c r="AH14" i="1"/>
  <c r="E16" i="4"/>
  <c r="F16" i="4" s="1"/>
  <c r="AB16" i="4"/>
  <c r="AD16" i="4" s="1"/>
  <c r="H16" i="4"/>
  <c r="AM14" i="4"/>
  <c r="K15" i="4"/>
  <c r="AF15" i="4" s="1"/>
  <c r="J15" i="4"/>
  <c r="O39" i="1" l="1"/>
  <c r="Q39" i="1" s="1"/>
  <c r="Z39" i="1"/>
  <c r="C40" i="1"/>
  <c r="N40" i="1"/>
  <c r="A38" i="3"/>
  <c r="B41" i="1"/>
  <c r="AM15" i="5"/>
  <c r="O41" i="5"/>
  <c r="Q41" i="5" s="1"/>
  <c r="Q43" i="5" s="1"/>
  <c r="Z41" i="5"/>
  <c r="V20" i="1"/>
  <c r="X20" i="1" s="1"/>
  <c r="O41" i="4"/>
  <c r="Q41" i="4" s="1"/>
  <c r="Q43" i="4" s="1"/>
  <c r="Z41" i="4"/>
  <c r="I17" i="5"/>
  <c r="K17" i="5" s="1"/>
  <c r="AF17" i="5" s="1"/>
  <c r="D18" i="5"/>
  <c r="AE16" i="5"/>
  <c r="AG16" i="5" s="1"/>
  <c r="L16" i="5"/>
  <c r="AC21" i="1"/>
  <c r="T21" i="1"/>
  <c r="R21" i="1"/>
  <c r="S21" i="1" s="1"/>
  <c r="U22" i="5"/>
  <c r="W22" i="5" s="1"/>
  <c r="P23" i="5"/>
  <c r="AM14" i="1"/>
  <c r="G16" i="1"/>
  <c r="P23" i="4"/>
  <c r="U22" i="4"/>
  <c r="W22" i="4" s="1"/>
  <c r="AE15" i="1"/>
  <c r="AG15" i="1" s="1"/>
  <c r="L15" i="1"/>
  <c r="G16" i="4"/>
  <c r="L15" i="4"/>
  <c r="AE15" i="4"/>
  <c r="AG15" i="4" s="1"/>
  <c r="O40" i="1" l="1"/>
  <c r="Q40" i="1" s="1"/>
  <c r="Z40" i="1"/>
  <c r="N41" i="1"/>
  <c r="C41" i="1"/>
  <c r="A39" i="3"/>
  <c r="C19" i="3"/>
  <c r="P22" i="1"/>
  <c r="U21" i="1"/>
  <c r="W21" i="1" s="1"/>
  <c r="T23" i="4"/>
  <c r="R23" i="4"/>
  <c r="S23" i="4" s="1"/>
  <c r="AC23" i="4"/>
  <c r="R23" i="5"/>
  <c r="S23" i="5" s="1"/>
  <c r="T23" i="5"/>
  <c r="AC23" i="5"/>
  <c r="AJ15" i="1"/>
  <c r="F13" i="3"/>
  <c r="AK15" i="1"/>
  <c r="AL15" i="1"/>
  <c r="AH15" i="1"/>
  <c r="H18" i="5"/>
  <c r="AB18" i="5"/>
  <c r="AD18" i="5" s="1"/>
  <c r="E18" i="5"/>
  <c r="F18" i="5" s="1"/>
  <c r="B14" i="3"/>
  <c r="D14" i="3" s="1"/>
  <c r="I16" i="1"/>
  <c r="D17" i="1"/>
  <c r="AJ16" i="5"/>
  <c r="AK16" i="5"/>
  <c r="AL16" i="5"/>
  <c r="AH16" i="5"/>
  <c r="V22" i="4"/>
  <c r="X22" i="4" s="1"/>
  <c r="V22" i="5"/>
  <c r="X22" i="5" s="1"/>
  <c r="J17" i="5"/>
  <c r="I16" i="4"/>
  <c r="D17" i="4"/>
  <c r="AL15" i="4"/>
  <c r="AK15" i="4"/>
  <c r="AJ15" i="4"/>
  <c r="AH15" i="4"/>
  <c r="O41" i="1" l="1"/>
  <c r="Q41" i="1" s="1"/>
  <c r="Q43" i="1" s="1"/>
  <c r="Z41" i="1"/>
  <c r="V21" i="1"/>
  <c r="X21" i="1" s="1"/>
  <c r="AM15" i="1"/>
  <c r="AM16" i="5"/>
  <c r="U23" i="4"/>
  <c r="W23" i="4" s="1"/>
  <c r="P24" i="4"/>
  <c r="H17" i="1"/>
  <c r="E17" i="1"/>
  <c r="F17" i="1" s="1"/>
  <c r="AB17" i="1"/>
  <c r="AD17" i="1" s="1"/>
  <c r="AC22" i="1"/>
  <c r="T22" i="1"/>
  <c r="R22" i="1"/>
  <c r="S22" i="1" s="1"/>
  <c r="U23" i="5"/>
  <c r="W23" i="5" s="1"/>
  <c r="P24" i="5"/>
  <c r="G18" i="5"/>
  <c r="L17" i="5"/>
  <c r="AE17" i="5"/>
  <c r="AG17" i="5" s="1"/>
  <c r="K16" i="1"/>
  <c r="AF16" i="1" s="1"/>
  <c r="J16" i="1"/>
  <c r="K16" i="4"/>
  <c r="AF16" i="4" s="1"/>
  <c r="J16" i="4"/>
  <c r="E17" i="4"/>
  <c r="F17" i="4" s="1"/>
  <c r="H17" i="4"/>
  <c r="AB17" i="4"/>
  <c r="AD17" i="4" s="1"/>
  <c r="AM15" i="4"/>
  <c r="V23" i="5" l="1"/>
  <c r="X23" i="5" s="1"/>
  <c r="I18" i="5"/>
  <c r="D19" i="5"/>
  <c r="AC24" i="5"/>
  <c r="R24" i="5"/>
  <c r="S24" i="5" s="1"/>
  <c r="T24" i="5"/>
  <c r="AK17" i="5"/>
  <c r="AJ17" i="5"/>
  <c r="AL17" i="5"/>
  <c r="AH17" i="5"/>
  <c r="AE16" i="1"/>
  <c r="AG16" i="1" s="1"/>
  <c r="L16" i="1"/>
  <c r="C20" i="3"/>
  <c r="U22" i="1"/>
  <c r="W22" i="1" s="1"/>
  <c r="P23" i="1"/>
  <c r="V23" i="4"/>
  <c r="X23" i="4" s="1"/>
  <c r="G17" i="1"/>
  <c r="T24" i="4"/>
  <c r="AC24" i="4"/>
  <c r="R24" i="4"/>
  <c r="S24" i="4" s="1"/>
  <c r="L16" i="4"/>
  <c r="AE16" i="4"/>
  <c r="AG16" i="4" s="1"/>
  <c r="G17" i="4"/>
  <c r="AM17" i="5" l="1"/>
  <c r="P25" i="4"/>
  <c r="U24" i="4"/>
  <c r="W24" i="4" s="1"/>
  <c r="K18" i="5"/>
  <c r="AF18" i="5" s="1"/>
  <c r="J18" i="5"/>
  <c r="AC23" i="1"/>
  <c r="T23" i="1"/>
  <c r="R23" i="1"/>
  <c r="S23" i="1" s="1"/>
  <c r="AJ16" i="1"/>
  <c r="F14" i="3"/>
  <c r="AK16" i="1"/>
  <c r="AL16" i="1"/>
  <c r="AH16" i="1"/>
  <c r="U24" i="5"/>
  <c r="W24" i="5" s="1"/>
  <c r="P25" i="5"/>
  <c r="V22" i="1"/>
  <c r="X22" i="1" s="1"/>
  <c r="AB19" i="5"/>
  <c r="AD19" i="5" s="1"/>
  <c r="H19" i="5"/>
  <c r="E19" i="5"/>
  <c r="F19" i="5" s="1"/>
  <c r="B15" i="3"/>
  <c r="D15" i="3" s="1"/>
  <c r="I17" i="1"/>
  <c r="D18" i="1"/>
  <c r="AJ16" i="4"/>
  <c r="AK16" i="4"/>
  <c r="AL16" i="4"/>
  <c r="AH16" i="4"/>
  <c r="D18" i="4"/>
  <c r="I17" i="4"/>
  <c r="V24" i="4" l="1"/>
  <c r="X24" i="4" s="1"/>
  <c r="AM16" i="1"/>
  <c r="V24" i="5"/>
  <c r="X24" i="5" s="1"/>
  <c r="T25" i="5"/>
  <c r="AC25" i="5"/>
  <c r="R25" i="5"/>
  <c r="S25" i="5" s="1"/>
  <c r="AB18" i="1"/>
  <c r="AD18" i="1" s="1"/>
  <c r="H18" i="1"/>
  <c r="E18" i="1"/>
  <c r="F18" i="1" s="1"/>
  <c r="R25" i="4"/>
  <c r="S25" i="4" s="1"/>
  <c r="T25" i="4"/>
  <c r="AC25" i="4"/>
  <c r="C21" i="3"/>
  <c r="P24" i="1"/>
  <c r="U23" i="1"/>
  <c r="W23" i="1" s="1"/>
  <c r="AE18" i="5"/>
  <c r="AG18" i="5" s="1"/>
  <c r="L18" i="5"/>
  <c r="G19" i="5"/>
  <c r="K17" i="1"/>
  <c r="AF17" i="1" s="1"/>
  <c r="J17" i="1"/>
  <c r="AM16" i="4"/>
  <c r="K17" i="4"/>
  <c r="AF17" i="4" s="1"/>
  <c r="J17" i="4"/>
  <c r="E18" i="4"/>
  <c r="F18" i="4" s="1"/>
  <c r="H18" i="4"/>
  <c r="AB18" i="4"/>
  <c r="AD18" i="4" s="1"/>
  <c r="P26" i="4" l="1"/>
  <c r="U25" i="4"/>
  <c r="W25" i="4" s="1"/>
  <c r="U25" i="5"/>
  <c r="W25" i="5" s="1"/>
  <c r="P26" i="5"/>
  <c r="AK18" i="5"/>
  <c r="AL18" i="5"/>
  <c r="AJ18" i="5"/>
  <c r="AH18" i="5"/>
  <c r="AE17" i="1"/>
  <c r="AG17" i="1" s="1"/>
  <c r="L17" i="1"/>
  <c r="I19" i="5"/>
  <c r="D20" i="5"/>
  <c r="T24" i="1"/>
  <c r="R24" i="1"/>
  <c r="S24" i="1" s="1"/>
  <c r="AC24" i="1"/>
  <c r="V23" i="1"/>
  <c r="X23" i="1" s="1"/>
  <c r="G18" i="1"/>
  <c r="AE17" i="4"/>
  <c r="AG17" i="4" s="1"/>
  <c r="L17" i="4"/>
  <c r="G18" i="4"/>
  <c r="V25" i="4" l="1"/>
  <c r="X25" i="4" s="1"/>
  <c r="C22" i="3"/>
  <c r="P25" i="1"/>
  <c r="U24" i="1"/>
  <c r="W24" i="1" s="1"/>
  <c r="T26" i="4"/>
  <c r="R26" i="4"/>
  <c r="S26" i="4" s="1"/>
  <c r="AC26" i="4"/>
  <c r="R26" i="5"/>
  <c r="S26" i="5" s="1"/>
  <c r="T26" i="5"/>
  <c r="AC26" i="5"/>
  <c r="V25" i="5"/>
  <c r="X25" i="5" s="1"/>
  <c r="E20" i="5"/>
  <c r="F20" i="5" s="1"/>
  <c r="AB20" i="5"/>
  <c r="AD20" i="5" s="1"/>
  <c r="H20" i="5"/>
  <c r="F15" i="3"/>
  <c r="AL17" i="1"/>
  <c r="AK17" i="1"/>
  <c r="AJ17" i="1"/>
  <c r="AH17" i="1"/>
  <c r="I18" i="1"/>
  <c r="D19" i="1"/>
  <c r="B16" i="3"/>
  <c r="D16" i="3" s="1"/>
  <c r="K19" i="5"/>
  <c r="AF19" i="5" s="1"/>
  <c r="J19" i="5"/>
  <c r="AM18" i="5"/>
  <c r="AJ17" i="4"/>
  <c r="AL17" i="4"/>
  <c r="AK17" i="4"/>
  <c r="AH17" i="4"/>
  <c r="I18" i="4"/>
  <c r="D19" i="4"/>
  <c r="P27" i="4" l="1"/>
  <c r="U26" i="4"/>
  <c r="W26" i="4" s="1"/>
  <c r="AB19" i="1"/>
  <c r="AD19" i="1" s="1"/>
  <c r="H19" i="1"/>
  <c r="E19" i="1"/>
  <c r="F19" i="1" s="1"/>
  <c r="T25" i="1"/>
  <c r="R25" i="1"/>
  <c r="S25" i="1" s="1"/>
  <c r="AC25" i="1"/>
  <c r="P27" i="5"/>
  <c r="U26" i="5"/>
  <c r="W26" i="5" s="1"/>
  <c r="V24" i="1"/>
  <c r="X24" i="1" s="1"/>
  <c r="AM17" i="1"/>
  <c r="L19" i="5"/>
  <c r="AE19" i="5"/>
  <c r="AG19" i="5" s="1"/>
  <c r="K18" i="1"/>
  <c r="AF18" i="1" s="1"/>
  <c r="J18" i="1"/>
  <c r="G20" i="5"/>
  <c r="AM17" i="4"/>
  <c r="K18" i="4"/>
  <c r="AF18" i="4" s="1"/>
  <c r="J18" i="4"/>
  <c r="E19" i="4"/>
  <c r="F19" i="4" s="1"/>
  <c r="H19" i="4"/>
  <c r="AB19" i="4"/>
  <c r="AD19" i="4" s="1"/>
  <c r="V26" i="4" l="1"/>
  <c r="X26" i="4" s="1"/>
  <c r="G19" i="1"/>
  <c r="D20" i="1" s="1"/>
  <c r="V26" i="5"/>
  <c r="X26" i="5" s="1"/>
  <c r="P26" i="1"/>
  <c r="U25" i="1"/>
  <c r="W25" i="1" s="1"/>
  <c r="C23" i="3"/>
  <c r="AC27" i="4"/>
  <c r="T27" i="4"/>
  <c r="R27" i="4"/>
  <c r="S27" i="4" s="1"/>
  <c r="T27" i="5"/>
  <c r="AC27" i="5"/>
  <c r="R27" i="5"/>
  <c r="S27" i="5" s="1"/>
  <c r="AJ19" i="5"/>
  <c r="AL19" i="5"/>
  <c r="AK19" i="5"/>
  <c r="AH19" i="5"/>
  <c r="AE18" i="1"/>
  <c r="AG18" i="1" s="1"/>
  <c r="L18" i="1"/>
  <c r="I20" i="5"/>
  <c r="D21" i="5"/>
  <c r="G19" i="4"/>
  <c r="AE18" i="4"/>
  <c r="AG18" i="4" s="1"/>
  <c r="L18" i="4"/>
  <c r="I19" i="1" l="1"/>
  <c r="B17" i="3"/>
  <c r="D17" i="3" s="1"/>
  <c r="AM19" i="5"/>
  <c r="U27" i="5"/>
  <c r="W27" i="5" s="1"/>
  <c r="P28" i="5"/>
  <c r="AC26" i="1"/>
  <c r="T26" i="1"/>
  <c r="R26" i="1"/>
  <c r="S26" i="1" s="1"/>
  <c r="K20" i="5"/>
  <c r="AF20" i="5" s="1"/>
  <c r="J20" i="5"/>
  <c r="AJ18" i="1"/>
  <c r="F16" i="3"/>
  <c r="AK18" i="1"/>
  <c r="AL18" i="1"/>
  <c r="AH18" i="1"/>
  <c r="U27" i="4"/>
  <c r="W27" i="4" s="1"/>
  <c r="P28" i="4"/>
  <c r="H21" i="5"/>
  <c r="E21" i="5"/>
  <c r="F21" i="5" s="1"/>
  <c r="AB21" i="5"/>
  <c r="AD21" i="5" s="1"/>
  <c r="H20" i="1"/>
  <c r="AB20" i="1"/>
  <c r="AD20" i="1" s="1"/>
  <c r="E20" i="1"/>
  <c r="F20" i="1" s="1"/>
  <c r="V25" i="1"/>
  <c r="X25" i="1" s="1"/>
  <c r="D20" i="4"/>
  <c r="I19" i="4"/>
  <c r="AK18" i="4"/>
  <c r="AL18" i="4"/>
  <c r="AJ18" i="4"/>
  <c r="AH18" i="4"/>
  <c r="K19" i="1" l="1"/>
  <c r="AF19" i="1" s="1"/>
  <c r="J19" i="1"/>
  <c r="AM18" i="1"/>
  <c r="U26" i="1"/>
  <c r="W26" i="1" s="1"/>
  <c r="P27" i="1"/>
  <c r="C24" i="3"/>
  <c r="L20" i="5"/>
  <c r="AE20" i="5"/>
  <c r="AG20" i="5" s="1"/>
  <c r="AC28" i="4"/>
  <c r="T28" i="4"/>
  <c r="R28" i="4"/>
  <c r="S28" i="4" s="1"/>
  <c r="R28" i="5"/>
  <c r="S28" i="5" s="1"/>
  <c r="T28" i="5"/>
  <c r="AC28" i="5"/>
  <c r="G21" i="5"/>
  <c r="V27" i="4"/>
  <c r="X27" i="4" s="1"/>
  <c r="G20" i="1"/>
  <c r="V27" i="5"/>
  <c r="X27" i="5" s="1"/>
  <c r="E20" i="4"/>
  <c r="F20" i="4" s="1"/>
  <c r="H20" i="4"/>
  <c r="AB20" i="4"/>
  <c r="AD20" i="4" s="1"/>
  <c r="K19" i="4"/>
  <c r="AF19" i="4" s="1"/>
  <c r="J19" i="4"/>
  <c r="AM18" i="4"/>
  <c r="AE19" i="1" l="1"/>
  <c r="AG19" i="1" s="1"/>
  <c r="L19" i="1"/>
  <c r="U28" i="5"/>
  <c r="W28" i="5" s="1"/>
  <c r="P29" i="5"/>
  <c r="P29" i="4"/>
  <c r="U28" i="4"/>
  <c r="W28" i="4" s="1"/>
  <c r="D22" i="5"/>
  <c r="I21" i="5"/>
  <c r="AK20" i="5"/>
  <c r="AL20" i="5"/>
  <c r="AJ20" i="5"/>
  <c r="AH20" i="5"/>
  <c r="V26" i="1"/>
  <c r="X26" i="1" s="1"/>
  <c r="B18" i="3"/>
  <c r="D18" i="3" s="1"/>
  <c r="I20" i="1"/>
  <c r="D21" i="1"/>
  <c r="AC27" i="1"/>
  <c r="T27" i="1"/>
  <c r="R27" i="1"/>
  <c r="S27" i="1" s="1"/>
  <c r="G20" i="4"/>
  <c r="AE19" i="4"/>
  <c r="AG19" i="4" s="1"/>
  <c r="L19" i="4"/>
  <c r="AL19" i="1" l="1"/>
  <c r="F17" i="3"/>
  <c r="AH19" i="1"/>
  <c r="AJ19" i="1"/>
  <c r="AK19" i="1"/>
  <c r="C25" i="3"/>
  <c r="P28" i="1"/>
  <c r="U27" i="1"/>
  <c r="W27" i="1" s="1"/>
  <c r="AC29" i="4"/>
  <c r="T29" i="4"/>
  <c r="R29" i="4"/>
  <c r="S29" i="4" s="1"/>
  <c r="AM20" i="5"/>
  <c r="AB22" i="5"/>
  <c r="AD22" i="5" s="1"/>
  <c r="E22" i="5"/>
  <c r="F22" i="5" s="1"/>
  <c r="H22" i="5"/>
  <c r="V28" i="4"/>
  <c r="X28" i="4" s="1"/>
  <c r="T29" i="5"/>
  <c r="AC29" i="5"/>
  <c r="R29" i="5"/>
  <c r="S29" i="5" s="1"/>
  <c r="K21" i="5"/>
  <c r="AF21" i="5" s="1"/>
  <c r="J21" i="5"/>
  <c r="H21" i="1"/>
  <c r="E21" i="1"/>
  <c r="F21" i="1" s="1"/>
  <c r="AB21" i="1"/>
  <c r="AD21" i="1" s="1"/>
  <c r="K20" i="1"/>
  <c r="AF20" i="1" s="1"/>
  <c r="J20" i="1"/>
  <c r="V28" i="5"/>
  <c r="X28" i="5" s="1"/>
  <c r="D21" i="4"/>
  <c r="I20" i="4"/>
  <c r="AL19" i="4"/>
  <c r="AK19" i="4"/>
  <c r="AJ19" i="4"/>
  <c r="AH19" i="4"/>
  <c r="AM19" i="1" l="1"/>
  <c r="V27" i="1"/>
  <c r="X27" i="1" s="1"/>
  <c r="U29" i="5"/>
  <c r="W29" i="5" s="1"/>
  <c r="P30" i="5"/>
  <c r="AC28" i="1"/>
  <c r="T28" i="1"/>
  <c r="R28" i="1"/>
  <c r="S28" i="1" s="1"/>
  <c r="AE21" i="5"/>
  <c r="AG21" i="5" s="1"/>
  <c r="L21" i="5"/>
  <c r="P30" i="4"/>
  <c r="U29" i="4"/>
  <c r="W29" i="4" s="1"/>
  <c r="G22" i="5"/>
  <c r="G21" i="1"/>
  <c r="AE20" i="1"/>
  <c r="AG20" i="1" s="1"/>
  <c r="L20" i="1"/>
  <c r="E21" i="4"/>
  <c r="F21" i="4" s="1"/>
  <c r="AB21" i="4"/>
  <c r="AD21" i="4" s="1"/>
  <c r="H21" i="4"/>
  <c r="AM19" i="4"/>
  <c r="K20" i="4"/>
  <c r="AF20" i="4" s="1"/>
  <c r="J20" i="4"/>
  <c r="T30" i="5" l="1"/>
  <c r="AC30" i="5"/>
  <c r="R30" i="5"/>
  <c r="S30" i="5" s="1"/>
  <c r="D23" i="5"/>
  <c r="I22" i="5"/>
  <c r="D22" i="1"/>
  <c r="B19" i="3"/>
  <c r="D19" i="3" s="1"/>
  <c r="I21" i="1"/>
  <c r="AK21" i="5"/>
  <c r="AJ21" i="5"/>
  <c r="AL21" i="5"/>
  <c r="AH21" i="5"/>
  <c r="P29" i="1"/>
  <c r="U28" i="1"/>
  <c r="W28" i="1" s="1"/>
  <c r="C26" i="3"/>
  <c r="V29" i="4"/>
  <c r="X29" i="4" s="1"/>
  <c r="AC30" i="4"/>
  <c r="T30" i="4"/>
  <c r="R30" i="4"/>
  <c r="S30" i="4" s="1"/>
  <c r="AJ20" i="1"/>
  <c r="AK20" i="1"/>
  <c r="F18" i="3"/>
  <c r="AL20" i="1"/>
  <c r="AH20" i="1"/>
  <c r="V29" i="5"/>
  <c r="X29" i="5" s="1"/>
  <c r="G21" i="4"/>
  <c r="L20" i="4"/>
  <c r="AE20" i="4"/>
  <c r="AG20" i="4" s="1"/>
  <c r="AM20" i="1" l="1"/>
  <c r="AM21" i="5"/>
  <c r="P31" i="4"/>
  <c r="U30" i="4"/>
  <c r="W30" i="4" s="1"/>
  <c r="T29" i="1"/>
  <c r="AC29" i="1"/>
  <c r="R29" i="1"/>
  <c r="S29" i="1" s="1"/>
  <c r="P31" i="5"/>
  <c r="U30" i="5"/>
  <c r="W30" i="5" s="1"/>
  <c r="E22" i="1"/>
  <c r="F22" i="1" s="1"/>
  <c r="AB22" i="1"/>
  <c r="AD22" i="1" s="1"/>
  <c r="H22" i="1"/>
  <c r="K21" i="1"/>
  <c r="AF21" i="1" s="1"/>
  <c r="J21" i="1"/>
  <c r="H23" i="5"/>
  <c r="E23" i="5"/>
  <c r="F23" i="5" s="1"/>
  <c r="AB23" i="5"/>
  <c r="AD23" i="5" s="1"/>
  <c r="V28" i="1"/>
  <c r="X28" i="1" s="1"/>
  <c r="K22" i="5"/>
  <c r="AF22" i="5" s="1"/>
  <c r="J22" i="5"/>
  <c r="I21" i="4"/>
  <c r="D22" i="4"/>
  <c r="AJ20" i="4"/>
  <c r="AL20" i="4"/>
  <c r="AK20" i="4"/>
  <c r="AH20" i="4"/>
  <c r="AM20" i="4" l="1"/>
  <c r="R31" i="4"/>
  <c r="S31" i="4" s="1"/>
  <c r="AC31" i="4"/>
  <c r="T31" i="4"/>
  <c r="G22" i="1"/>
  <c r="V30" i="5"/>
  <c r="X30" i="5" s="1"/>
  <c r="U29" i="1"/>
  <c r="W29" i="1" s="1"/>
  <c r="C27" i="3"/>
  <c r="P30" i="1"/>
  <c r="G23" i="5"/>
  <c r="L22" i="5"/>
  <c r="AE22" i="5"/>
  <c r="AG22" i="5" s="1"/>
  <c r="AE21" i="1"/>
  <c r="AG21" i="1" s="1"/>
  <c r="L21" i="1"/>
  <c r="T31" i="5"/>
  <c r="AC31" i="5"/>
  <c r="R31" i="5"/>
  <c r="S31" i="5" s="1"/>
  <c r="V30" i="4"/>
  <c r="X30" i="4" s="1"/>
  <c r="K21" i="4"/>
  <c r="AF21" i="4" s="1"/>
  <c r="J21" i="4"/>
  <c r="H22" i="4"/>
  <c r="AB22" i="4"/>
  <c r="AD22" i="4" s="1"/>
  <c r="E22" i="4"/>
  <c r="F22" i="4" s="1"/>
  <c r="U31" i="4" l="1"/>
  <c r="W31" i="4" s="1"/>
  <c r="P32" i="4"/>
  <c r="AC30" i="1"/>
  <c r="T30" i="1"/>
  <c r="R30" i="1"/>
  <c r="S30" i="1" s="1"/>
  <c r="D24" i="5"/>
  <c r="I23" i="5"/>
  <c r="AK21" i="1"/>
  <c r="AL21" i="1"/>
  <c r="AJ21" i="1"/>
  <c r="F19" i="3"/>
  <c r="AH21" i="1"/>
  <c r="U31" i="5"/>
  <c r="W31" i="5" s="1"/>
  <c r="P32" i="5"/>
  <c r="B20" i="3"/>
  <c r="D20" i="3" s="1"/>
  <c r="I22" i="1"/>
  <c r="D23" i="1"/>
  <c r="V29" i="1"/>
  <c r="X29" i="1" s="1"/>
  <c r="AJ22" i="5"/>
  <c r="AK22" i="5"/>
  <c r="AL22" i="5"/>
  <c r="AH22" i="5"/>
  <c r="L21" i="4"/>
  <c r="AE21" i="4"/>
  <c r="AG21" i="4" s="1"/>
  <c r="G22" i="4"/>
  <c r="AM22" i="5" l="1"/>
  <c r="K23" i="5"/>
  <c r="AF23" i="5" s="1"/>
  <c r="J23" i="5"/>
  <c r="AM21" i="1"/>
  <c r="H24" i="5"/>
  <c r="AB24" i="5"/>
  <c r="AD24" i="5" s="1"/>
  <c r="E24" i="5"/>
  <c r="F24" i="5" s="1"/>
  <c r="C28" i="3"/>
  <c r="U30" i="1"/>
  <c r="W30" i="1" s="1"/>
  <c r="P31" i="1"/>
  <c r="V31" i="4"/>
  <c r="X31" i="4" s="1"/>
  <c r="R32" i="5"/>
  <c r="S32" i="5" s="1"/>
  <c r="T32" i="5"/>
  <c r="AC32" i="5"/>
  <c r="T32" i="4"/>
  <c r="AC32" i="4"/>
  <c r="R32" i="4"/>
  <c r="S32" i="4" s="1"/>
  <c r="K22" i="1"/>
  <c r="AF22" i="1" s="1"/>
  <c r="J22" i="1"/>
  <c r="H23" i="1"/>
  <c r="AB23" i="1"/>
  <c r="AD23" i="1" s="1"/>
  <c r="E23" i="1"/>
  <c r="F23" i="1" s="1"/>
  <c r="V31" i="5"/>
  <c r="X31" i="5" s="1"/>
  <c r="AK21" i="4"/>
  <c r="AJ21" i="4"/>
  <c r="AL21" i="4"/>
  <c r="AH21" i="4"/>
  <c r="I22" i="4"/>
  <c r="D23" i="4"/>
  <c r="G24" i="5" l="1"/>
  <c r="D25" i="5" s="1"/>
  <c r="U32" i="5"/>
  <c r="W32" i="5" s="1"/>
  <c r="P33" i="5"/>
  <c r="L23" i="5"/>
  <c r="AE23" i="5"/>
  <c r="AG23" i="5" s="1"/>
  <c r="V30" i="1"/>
  <c r="X30" i="1" s="1"/>
  <c r="AE22" i="1"/>
  <c r="AG22" i="1" s="1"/>
  <c r="L22" i="1"/>
  <c r="G23" i="1"/>
  <c r="P33" i="4"/>
  <c r="U32" i="4"/>
  <c r="W32" i="4" s="1"/>
  <c r="AC31" i="1"/>
  <c r="T31" i="1"/>
  <c r="R31" i="1"/>
  <c r="S31" i="1" s="1"/>
  <c r="K22" i="4"/>
  <c r="AF22" i="4" s="1"/>
  <c r="J22" i="4"/>
  <c r="H23" i="4"/>
  <c r="E23" i="4"/>
  <c r="F23" i="4" s="1"/>
  <c r="AB23" i="4"/>
  <c r="AD23" i="4" s="1"/>
  <c r="AM21" i="4"/>
  <c r="I24" i="5" l="1"/>
  <c r="U31" i="1"/>
  <c r="W31" i="1" s="1"/>
  <c r="C29" i="3"/>
  <c r="P32" i="1"/>
  <c r="AK22" i="1"/>
  <c r="AL22" i="1"/>
  <c r="AJ22" i="1"/>
  <c r="F20" i="3"/>
  <c r="AH22" i="1"/>
  <c r="B21" i="3"/>
  <c r="D21" i="3" s="1"/>
  <c r="I23" i="1"/>
  <c r="D24" i="1"/>
  <c r="AB25" i="5"/>
  <c r="AD25" i="5" s="1"/>
  <c r="H25" i="5"/>
  <c r="E25" i="5"/>
  <c r="F25" i="5" s="1"/>
  <c r="V32" i="5"/>
  <c r="X32" i="5" s="1"/>
  <c r="T33" i="5"/>
  <c r="AC33" i="5"/>
  <c r="R33" i="5"/>
  <c r="S33" i="5" s="1"/>
  <c r="AK23" i="5"/>
  <c r="AJ23" i="5"/>
  <c r="AL23" i="5"/>
  <c r="AH23" i="5"/>
  <c r="R33" i="4"/>
  <c r="S33" i="4" s="1"/>
  <c r="T33" i="4"/>
  <c r="AC33" i="4"/>
  <c r="V32" i="4"/>
  <c r="X32" i="4" s="1"/>
  <c r="AE22" i="4"/>
  <c r="AG22" i="4" s="1"/>
  <c r="L22" i="4"/>
  <c r="G23" i="4"/>
  <c r="K24" i="5" l="1"/>
  <c r="AF24" i="5" s="1"/>
  <c r="J24" i="5"/>
  <c r="U33" i="5"/>
  <c r="W33" i="5" s="1"/>
  <c r="P34" i="5"/>
  <c r="AB24" i="1"/>
  <c r="AD24" i="1" s="1"/>
  <c r="E24" i="1"/>
  <c r="F24" i="1" s="1"/>
  <c r="H24" i="1"/>
  <c r="AM23" i="5"/>
  <c r="K23" i="1"/>
  <c r="AF23" i="1" s="1"/>
  <c r="J23" i="1"/>
  <c r="P34" i="4"/>
  <c r="U33" i="4"/>
  <c r="W33" i="4" s="1"/>
  <c r="V31" i="1"/>
  <c r="X31" i="1" s="1"/>
  <c r="G25" i="5"/>
  <c r="AM22" i="1"/>
  <c r="R32" i="1"/>
  <c r="S32" i="1" s="1"/>
  <c r="AC32" i="1"/>
  <c r="T32" i="1"/>
  <c r="AJ22" i="4"/>
  <c r="AL22" i="4"/>
  <c r="AK22" i="4"/>
  <c r="AH22" i="4"/>
  <c r="I23" i="4"/>
  <c r="D24" i="4"/>
  <c r="L24" i="5" l="1"/>
  <c r="AE24" i="5"/>
  <c r="AG24" i="5" s="1"/>
  <c r="V33" i="4"/>
  <c r="X33" i="4" s="1"/>
  <c r="AM22" i="4"/>
  <c r="L23" i="1"/>
  <c r="AE23" i="1"/>
  <c r="AG23" i="1" s="1"/>
  <c r="T34" i="4"/>
  <c r="AC34" i="4"/>
  <c r="R34" i="4"/>
  <c r="S34" i="4" s="1"/>
  <c r="R34" i="5"/>
  <c r="S34" i="5" s="1"/>
  <c r="T34" i="5"/>
  <c r="AC34" i="5"/>
  <c r="P33" i="1"/>
  <c r="U32" i="1"/>
  <c r="W32" i="1" s="1"/>
  <c r="C30" i="3"/>
  <c r="V33" i="5"/>
  <c r="X33" i="5" s="1"/>
  <c r="G24" i="1"/>
  <c r="D26" i="5"/>
  <c r="I25" i="5"/>
  <c r="K23" i="4"/>
  <c r="AF23" i="4" s="1"/>
  <c r="J23" i="4"/>
  <c r="AB24" i="4"/>
  <c r="AD24" i="4" s="1"/>
  <c r="H24" i="4"/>
  <c r="E24" i="4"/>
  <c r="F24" i="4" s="1"/>
  <c r="V32" i="1" l="1"/>
  <c r="X32" i="1" s="1"/>
  <c r="AL24" i="5"/>
  <c r="AH24" i="5"/>
  <c r="AK24" i="5"/>
  <c r="AJ24" i="5"/>
  <c r="P35" i="5"/>
  <c r="U34" i="5"/>
  <c r="W34" i="5" s="1"/>
  <c r="AJ23" i="1"/>
  <c r="F21" i="3"/>
  <c r="AK23" i="1"/>
  <c r="AL23" i="1"/>
  <c r="AH23" i="1"/>
  <c r="K25" i="5"/>
  <c r="AF25" i="5" s="1"/>
  <c r="J25" i="5"/>
  <c r="P35" i="4"/>
  <c r="U34" i="4"/>
  <c r="W34" i="4" s="1"/>
  <c r="AC33" i="1"/>
  <c r="T33" i="1"/>
  <c r="R33" i="1"/>
  <c r="S33" i="1" s="1"/>
  <c r="I24" i="1"/>
  <c r="D25" i="1"/>
  <c r="B22" i="3"/>
  <c r="D22" i="3" s="1"/>
  <c r="AB26" i="5"/>
  <c r="AD26" i="5" s="1"/>
  <c r="H26" i="5"/>
  <c r="E26" i="5"/>
  <c r="F26" i="5" s="1"/>
  <c r="AE23" i="4"/>
  <c r="AG23" i="4" s="1"/>
  <c r="L23" i="4"/>
  <c r="G24" i="4"/>
  <c r="AM23" i="1" l="1"/>
  <c r="AM24" i="5"/>
  <c r="V34" i="4"/>
  <c r="X34" i="4" s="1"/>
  <c r="V34" i="5"/>
  <c r="X34" i="5" s="1"/>
  <c r="T35" i="5"/>
  <c r="AC35" i="5"/>
  <c r="R35" i="5"/>
  <c r="S35" i="5" s="1"/>
  <c r="L25" i="5"/>
  <c r="AE25" i="5"/>
  <c r="AG25" i="5" s="1"/>
  <c r="T35" i="4"/>
  <c r="AC35" i="4"/>
  <c r="R35" i="4"/>
  <c r="S35" i="4" s="1"/>
  <c r="U33" i="1"/>
  <c r="W33" i="1" s="1"/>
  <c r="P34" i="1"/>
  <c r="C31" i="3"/>
  <c r="K24" i="1"/>
  <c r="AF24" i="1" s="1"/>
  <c r="J24" i="1"/>
  <c r="E25" i="1"/>
  <c r="F25" i="1" s="1"/>
  <c r="AB25" i="1"/>
  <c r="AD25" i="1" s="1"/>
  <c r="H25" i="1"/>
  <c r="G26" i="5"/>
  <c r="AJ23" i="4"/>
  <c r="AK23" i="4"/>
  <c r="AL23" i="4"/>
  <c r="AH23" i="4"/>
  <c r="I24" i="4"/>
  <c r="D25" i="4"/>
  <c r="AM23" i="4" l="1"/>
  <c r="U35" i="4"/>
  <c r="W35" i="4" s="1"/>
  <c r="P36" i="4"/>
  <c r="U35" i="5"/>
  <c r="W35" i="5" s="1"/>
  <c r="P36" i="5"/>
  <c r="AE24" i="1"/>
  <c r="AG24" i="1" s="1"/>
  <c r="L24" i="1"/>
  <c r="AC34" i="1"/>
  <c r="T34" i="1"/>
  <c r="R34" i="1"/>
  <c r="S34" i="1" s="1"/>
  <c r="AK25" i="5"/>
  <c r="AL25" i="5"/>
  <c r="AJ25" i="5"/>
  <c r="AH25" i="5"/>
  <c r="I26" i="5"/>
  <c r="D27" i="5"/>
  <c r="G25" i="1"/>
  <c r="V33" i="1"/>
  <c r="X33" i="1" s="1"/>
  <c r="K24" i="4"/>
  <c r="AF24" i="4" s="1"/>
  <c r="J24" i="4"/>
  <c r="E25" i="4"/>
  <c r="F25" i="4" s="1"/>
  <c r="H25" i="4"/>
  <c r="AB25" i="4"/>
  <c r="AD25" i="4" s="1"/>
  <c r="AM25" i="5" l="1"/>
  <c r="U34" i="1"/>
  <c r="W34" i="1" s="1"/>
  <c r="P35" i="1"/>
  <c r="C32" i="3"/>
  <c r="AJ24" i="1"/>
  <c r="AK24" i="1"/>
  <c r="AL24" i="1"/>
  <c r="F22" i="3"/>
  <c r="AH24" i="1"/>
  <c r="K26" i="5"/>
  <c r="AF26" i="5" s="1"/>
  <c r="J26" i="5"/>
  <c r="R36" i="4"/>
  <c r="S36" i="4" s="1"/>
  <c r="AC36" i="4"/>
  <c r="T36" i="4"/>
  <c r="V35" i="5"/>
  <c r="X35" i="5" s="1"/>
  <c r="H27" i="5"/>
  <c r="AB27" i="5"/>
  <c r="AD27" i="5" s="1"/>
  <c r="E27" i="5"/>
  <c r="F27" i="5" s="1"/>
  <c r="AC36" i="5"/>
  <c r="R36" i="5"/>
  <c r="S36" i="5" s="1"/>
  <c r="T36" i="5"/>
  <c r="B23" i="3"/>
  <c r="D23" i="3" s="1"/>
  <c r="I25" i="1"/>
  <c r="D26" i="1"/>
  <c r="V35" i="4"/>
  <c r="X35" i="4" s="1"/>
  <c r="G25" i="4"/>
  <c r="AE24" i="4"/>
  <c r="AG24" i="4" s="1"/>
  <c r="L24" i="4"/>
  <c r="AM24" i="1" l="1"/>
  <c r="T35" i="1"/>
  <c r="R35" i="1"/>
  <c r="S35" i="1" s="1"/>
  <c r="AC35" i="1"/>
  <c r="K25" i="1"/>
  <c r="AF25" i="1" s="1"/>
  <c r="J25" i="1"/>
  <c r="L26" i="5"/>
  <c r="AE26" i="5"/>
  <c r="AG26" i="5" s="1"/>
  <c r="P37" i="4"/>
  <c r="U36" i="4"/>
  <c r="W36" i="4" s="1"/>
  <c r="H26" i="1"/>
  <c r="AB26" i="1"/>
  <c r="AD26" i="1" s="1"/>
  <c r="E26" i="1"/>
  <c r="F26" i="1" s="1"/>
  <c r="U36" i="5"/>
  <c r="W36" i="5" s="1"/>
  <c r="P37" i="5"/>
  <c r="G27" i="5"/>
  <c r="V34" i="1"/>
  <c r="X34" i="1" s="1"/>
  <c r="I25" i="4"/>
  <c r="D26" i="4"/>
  <c r="AJ24" i="4"/>
  <c r="AK24" i="4"/>
  <c r="AL24" i="4"/>
  <c r="AH24" i="4"/>
  <c r="AM24" i="4" l="1"/>
  <c r="AE25" i="1"/>
  <c r="AG25" i="1" s="1"/>
  <c r="L25" i="1"/>
  <c r="AJ26" i="5"/>
  <c r="AL26" i="5"/>
  <c r="AK26" i="5"/>
  <c r="AH26" i="5"/>
  <c r="R37" i="4"/>
  <c r="S37" i="4" s="1"/>
  <c r="AC37" i="4"/>
  <c r="T37" i="4"/>
  <c r="G26" i="1"/>
  <c r="R37" i="5"/>
  <c r="S37" i="5" s="1"/>
  <c r="T37" i="5"/>
  <c r="AC37" i="5"/>
  <c r="C33" i="3"/>
  <c r="P36" i="1"/>
  <c r="U35" i="1"/>
  <c r="W35" i="1" s="1"/>
  <c r="I27" i="5"/>
  <c r="D28" i="5"/>
  <c r="V36" i="5"/>
  <c r="X36" i="5" s="1"/>
  <c r="V36" i="4"/>
  <c r="X36" i="4" s="1"/>
  <c r="H26" i="4"/>
  <c r="E26" i="4"/>
  <c r="F26" i="4" s="1"/>
  <c r="AB26" i="4"/>
  <c r="AD26" i="4" s="1"/>
  <c r="K25" i="4"/>
  <c r="AF25" i="4" s="1"/>
  <c r="J25" i="4"/>
  <c r="V35" i="1" l="1"/>
  <c r="X35" i="1" s="1"/>
  <c r="AM26" i="5"/>
  <c r="P38" i="4"/>
  <c r="U37" i="4"/>
  <c r="W37" i="4" s="1"/>
  <c r="F23" i="3"/>
  <c r="AL25" i="1"/>
  <c r="AJ25" i="1"/>
  <c r="AK25" i="1"/>
  <c r="AH25" i="1"/>
  <c r="AC36" i="1"/>
  <c r="T36" i="1"/>
  <c r="R36" i="1"/>
  <c r="S36" i="1" s="1"/>
  <c r="B24" i="3"/>
  <c r="D24" i="3" s="1"/>
  <c r="I26" i="1"/>
  <c r="D27" i="1"/>
  <c r="AB28" i="5"/>
  <c r="AD28" i="5" s="1"/>
  <c r="H28" i="5"/>
  <c r="E28" i="5"/>
  <c r="F28" i="5" s="1"/>
  <c r="U37" i="5"/>
  <c r="W37" i="5" s="1"/>
  <c r="P38" i="5"/>
  <c r="K27" i="5"/>
  <c r="AF27" i="5" s="1"/>
  <c r="J27" i="5"/>
  <c r="G26" i="4"/>
  <c r="L25" i="4"/>
  <c r="AE25" i="4"/>
  <c r="AG25" i="4" s="1"/>
  <c r="V37" i="5" l="1"/>
  <c r="X37" i="5" s="1"/>
  <c r="V37" i="4"/>
  <c r="X37" i="4" s="1"/>
  <c r="AC38" i="4"/>
  <c r="R38" i="4"/>
  <c r="S38" i="4" s="1"/>
  <c r="T38" i="4"/>
  <c r="AE27" i="5"/>
  <c r="AG27" i="5" s="1"/>
  <c r="L27" i="5"/>
  <c r="G28" i="5"/>
  <c r="AM25" i="1"/>
  <c r="K26" i="1"/>
  <c r="AF26" i="1" s="1"/>
  <c r="J26" i="1"/>
  <c r="AB27" i="1"/>
  <c r="AD27" i="1" s="1"/>
  <c r="E27" i="1"/>
  <c r="F27" i="1" s="1"/>
  <c r="G27" i="1" s="1"/>
  <c r="H27" i="1"/>
  <c r="C34" i="3"/>
  <c r="P37" i="1"/>
  <c r="U36" i="1"/>
  <c r="W36" i="1" s="1"/>
  <c r="T38" i="5"/>
  <c r="AC38" i="5"/>
  <c r="R38" i="5"/>
  <c r="S38" i="5" s="1"/>
  <c r="I26" i="4"/>
  <c r="D27" i="4"/>
  <c r="AL25" i="4"/>
  <c r="AJ25" i="4"/>
  <c r="AK25" i="4"/>
  <c r="AH25" i="4"/>
  <c r="V36" i="1" l="1"/>
  <c r="X36" i="1" s="1"/>
  <c r="P39" i="4"/>
  <c r="U38" i="4"/>
  <c r="W38" i="4" s="1"/>
  <c r="I27" i="1"/>
  <c r="K27" i="1" s="1"/>
  <c r="AF27" i="1" s="1"/>
  <c r="D28" i="1"/>
  <c r="B25" i="3"/>
  <c r="D25" i="3" s="1"/>
  <c r="R37" i="1"/>
  <c r="S37" i="1" s="1"/>
  <c r="AC37" i="1"/>
  <c r="T37" i="1"/>
  <c r="AE26" i="1"/>
  <c r="AG26" i="1" s="1"/>
  <c r="L26" i="1"/>
  <c r="AK27" i="5"/>
  <c r="AJ27" i="5"/>
  <c r="AL27" i="5"/>
  <c r="AH27" i="5"/>
  <c r="I28" i="5"/>
  <c r="D29" i="5"/>
  <c r="P39" i="5"/>
  <c r="U38" i="5"/>
  <c r="W38" i="5" s="1"/>
  <c r="K26" i="4"/>
  <c r="AF26" i="4" s="1"/>
  <c r="J26" i="4"/>
  <c r="AM25" i="4"/>
  <c r="E27" i="4"/>
  <c r="F27" i="4" s="1"/>
  <c r="AB27" i="4"/>
  <c r="AD27" i="4" s="1"/>
  <c r="H27" i="4"/>
  <c r="AM27" i="5" l="1"/>
  <c r="C35" i="3"/>
  <c r="P38" i="1"/>
  <c r="U37" i="1"/>
  <c r="W37" i="1" s="1"/>
  <c r="T39" i="4"/>
  <c r="R39" i="4"/>
  <c r="S39" i="4" s="1"/>
  <c r="AC39" i="4"/>
  <c r="T39" i="5"/>
  <c r="AC39" i="5"/>
  <c r="R39" i="5"/>
  <c r="S39" i="5" s="1"/>
  <c r="K28" i="5"/>
  <c r="AF28" i="5" s="1"/>
  <c r="J28" i="5"/>
  <c r="AB29" i="5"/>
  <c r="AD29" i="5" s="1"/>
  <c r="E29" i="5"/>
  <c r="F29" i="5" s="1"/>
  <c r="H29" i="5"/>
  <c r="H28" i="1"/>
  <c r="AB28" i="1"/>
  <c r="AD28" i="1" s="1"/>
  <c r="E28" i="1"/>
  <c r="F28" i="1" s="1"/>
  <c r="J27" i="1"/>
  <c r="AJ26" i="1"/>
  <c r="F24" i="3"/>
  <c r="AK26" i="1"/>
  <c r="AL26" i="1"/>
  <c r="AH26" i="1"/>
  <c r="V38" i="4"/>
  <c r="X38" i="4" s="1"/>
  <c r="V38" i="5"/>
  <c r="X38" i="5" s="1"/>
  <c r="AE26" i="4"/>
  <c r="AG26" i="4" s="1"/>
  <c r="L26" i="4"/>
  <c r="G27" i="4"/>
  <c r="AM26" i="1" l="1"/>
  <c r="U39" i="5"/>
  <c r="W39" i="5" s="1"/>
  <c r="P40" i="5"/>
  <c r="U39" i="4"/>
  <c r="W39" i="4" s="1"/>
  <c r="P40" i="4"/>
  <c r="G29" i="5"/>
  <c r="AC38" i="1"/>
  <c r="T38" i="1"/>
  <c r="R38" i="1"/>
  <c r="S38" i="1" s="1"/>
  <c r="V37" i="1"/>
  <c r="X37" i="1" s="1"/>
  <c r="G28" i="1"/>
  <c r="AE28" i="5"/>
  <c r="AG28" i="5" s="1"/>
  <c r="L28" i="5"/>
  <c r="L27" i="1"/>
  <c r="AE27" i="1"/>
  <c r="AG27" i="1" s="1"/>
  <c r="AJ26" i="4"/>
  <c r="AL26" i="4"/>
  <c r="AK26" i="4"/>
  <c r="AH26" i="4"/>
  <c r="D28" i="4"/>
  <c r="I27" i="4"/>
  <c r="U38" i="1" l="1"/>
  <c r="W38" i="1" s="1"/>
  <c r="P39" i="1"/>
  <c r="C36" i="3"/>
  <c r="AC40" i="5"/>
  <c r="T40" i="5"/>
  <c r="R40" i="5"/>
  <c r="S40" i="5" s="1"/>
  <c r="V39" i="5"/>
  <c r="X39" i="5" s="1"/>
  <c r="D30" i="5"/>
  <c r="I29" i="5"/>
  <c r="I28" i="1"/>
  <c r="D29" i="1"/>
  <c r="B26" i="3"/>
  <c r="D26" i="3" s="1"/>
  <c r="F25" i="3"/>
  <c r="AK27" i="1"/>
  <c r="AL27" i="1"/>
  <c r="AJ27" i="1"/>
  <c r="AH27" i="1"/>
  <c r="R40" i="4"/>
  <c r="S40" i="4" s="1"/>
  <c r="T40" i="4"/>
  <c r="AC40" i="4"/>
  <c r="AJ28" i="5"/>
  <c r="AK28" i="5"/>
  <c r="AL28" i="5"/>
  <c r="AH28" i="5"/>
  <c r="V39" i="4"/>
  <c r="X39" i="4" s="1"/>
  <c r="AM26" i="4"/>
  <c r="AB28" i="4"/>
  <c r="AD28" i="4" s="1"/>
  <c r="H28" i="4"/>
  <c r="E28" i="4"/>
  <c r="F28" i="4" s="1"/>
  <c r="K27" i="4"/>
  <c r="AF27" i="4" s="1"/>
  <c r="J27" i="4"/>
  <c r="AM28" i="5" l="1"/>
  <c r="U40" i="4"/>
  <c r="W40" i="4" s="1"/>
  <c r="P41" i="4"/>
  <c r="E30" i="5"/>
  <c r="F30" i="5" s="1"/>
  <c r="H30" i="5"/>
  <c r="AB30" i="5"/>
  <c r="AD30" i="5" s="1"/>
  <c r="K29" i="5"/>
  <c r="AF29" i="5" s="1"/>
  <c r="J29" i="5"/>
  <c r="T39" i="1"/>
  <c r="R39" i="1"/>
  <c r="S39" i="1" s="1"/>
  <c r="AC39" i="1"/>
  <c r="AM27" i="1"/>
  <c r="K28" i="1"/>
  <c r="AF28" i="1" s="1"/>
  <c r="J28" i="1"/>
  <c r="U40" i="5"/>
  <c r="W40" i="5" s="1"/>
  <c r="P41" i="5"/>
  <c r="AB29" i="1"/>
  <c r="AD29" i="1" s="1"/>
  <c r="H29" i="1"/>
  <c r="E29" i="1"/>
  <c r="F29" i="1" s="1"/>
  <c r="V38" i="1"/>
  <c r="X38" i="1" s="1"/>
  <c r="AE27" i="4"/>
  <c r="AG27" i="4" s="1"/>
  <c r="L27" i="4"/>
  <c r="G28" i="4"/>
  <c r="V40" i="5" l="1"/>
  <c r="X40" i="5" s="1"/>
  <c r="T41" i="5"/>
  <c r="AC41" i="5"/>
  <c r="R41" i="5"/>
  <c r="R43" i="5" s="1"/>
  <c r="Q45" i="5" s="1"/>
  <c r="G29" i="1"/>
  <c r="U39" i="1"/>
  <c r="W39" i="1" s="1"/>
  <c r="C37" i="3"/>
  <c r="P40" i="1"/>
  <c r="G30" i="5"/>
  <c r="AE28" i="1"/>
  <c r="AG28" i="1" s="1"/>
  <c r="L28" i="1"/>
  <c r="T41" i="4"/>
  <c r="AC41" i="4"/>
  <c r="R41" i="4"/>
  <c r="R43" i="4" s="1"/>
  <c r="Q45" i="4" s="1"/>
  <c r="AE29" i="5"/>
  <c r="AG29" i="5" s="1"/>
  <c r="L29" i="5"/>
  <c r="V40" i="4"/>
  <c r="X40" i="4" s="1"/>
  <c r="AJ27" i="4"/>
  <c r="AL27" i="4"/>
  <c r="AK27" i="4"/>
  <c r="AH27" i="4"/>
  <c r="I28" i="4"/>
  <c r="D29" i="4"/>
  <c r="V39" i="1" l="1"/>
  <c r="X39" i="1" s="1"/>
  <c r="S41" i="5"/>
  <c r="U41" i="5" s="1"/>
  <c r="Q46" i="5" s="1"/>
  <c r="AK28" i="1"/>
  <c r="AJ28" i="1"/>
  <c r="F26" i="3"/>
  <c r="AL28" i="1"/>
  <c r="AH28" i="1"/>
  <c r="AL29" i="5"/>
  <c r="AJ29" i="5"/>
  <c r="AK29" i="5"/>
  <c r="AH29" i="5"/>
  <c r="R40" i="1"/>
  <c r="S40" i="1" s="1"/>
  <c r="AC40" i="1"/>
  <c r="T40" i="1"/>
  <c r="I30" i="5"/>
  <c r="D31" i="5"/>
  <c r="B27" i="3"/>
  <c r="D27" i="3" s="1"/>
  <c r="D30" i="1"/>
  <c r="I29" i="1"/>
  <c r="S41" i="4"/>
  <c r="U41" i="4" s="1"/>
  <c r="AM27" i="4"/>
  <c r="K28" i="4"/>
  <c r="AF28" i="4" s="1"/>
  <c r="J28" i="4"/>
  <c r="AB29" i="4"/>
  <c r="AD29" i="4" s="1"/>
  <c r="E29" i="4"/>
  <c r="F29" i="4" s="1"/>
  <c r="H29" i="4"/>
  <c r="V41" i="5" l="1"/>
  <c r="W41" i="5"/>
  <c r="W43" i="5" s="1"/>
  <c r="Q50" i="5" s="1"/>
  <c r="U40" i="1"/>
  <c r="W40" i="1" s="1"/>
  <c r="C38" i="3"/>
  <c r="P41" i="1"/>
  <c r="K30" i="5"/>
  <c r="AF30" i="5" s="1"/>
  <c r="J30" i="5"/>
  <c r="Q46" i="4"/>
  <c r="W41" i="4"/>
  <c r="W43" i="4" s="1"/>
  <c r="Q50" i="4" s="1"/>
  <c r="H31" i="5"/>
  <c r="AB31" i="5"/>
  <c r="AD31" i="5" s="1"/>
  <c r="E31" i="5"/>
  <c r="F31" i="5" s="1"/>
  <c r="G31" i="5" s="1"/>
  <c r="R46" i="5"/>
  <c r="Q48" i="5"/>
  <c r="V41" i="4"/>
  <c r="AM28" i="1"/>
  <c r="E30" i="1"/>
  <c r="F30" i="1" s="1"/>
  <c r="AB30" i="1"/>
  <c r="AD30" i="1" s="1"/>
  <c r="H30" i="1"/>
  <c r="AM29" i="5"/>
  <c r="K29" i="1"/>
  <c r="AF29" i="1" s="1"/>
  <c r="J29" i="1"/>
  <c r="L28" i="4"/>
  <c r="AE28" i="4"/>
  <c r="AG28" i="4" s="1"/>
  <c r="G29" i="4"/>
  <c r="V40" i="1" l="1"/>
  <c r="X40" i="1" s="1"/>
  <c r="X41" i="5"/>
  <c r="V43" i="5"/>
  <c r="Q49" i="5" s="1"/>
  <c r="Q51" i="5" s="1"/>
  <c r="I31" i="5"/>
  <c r="K31" i="5" s="1"/>
  <c r="AF31" i="5" s="1"/>
  <c r="D32" i="5"/>
  <c r="X41" i="4"/>
  <c r="V43" i="4"/>
  <c r="Q49" i="4" s="1"/>
  <c r="Q48" i="4"/>
  <c r="R46" i="4"/>
  <c r="R41" i="1"/>
  <c r="R43" i="1" s="1"/>
  <c r="Q45" i="1" s="1"/>
  <c r="AC41" i="1"/>
  <c r="T41" i="1"/>
  <c r="L30" i="5"/>
  <c r="AE30" i="5"/>
  <c r="AG30" i="5" s="1"/>
  <c r="L29" i="1"/>
  <c r="AE29" i="1"/>
  <c r="AG29" i="1" s="1"/>
  <c r="G30" i="1"/>
  <c r="AJ28" i="4"/>
  <c r="AL28" i="4"/>
  <c r="AK28" i="4"/>
  <c r="AH28" i="4"/>
  <c r="I29" i="4"/>
  <c r="D30" i="4"/>
  <c r="Q51" i="4" l="1"/>
  <c r="S41" i="1"/>
  <c r="AJ30" i="5"/>
  <c r="AL30" i="5"/>
  <c r="AK30" i="5"/>
  <c r="AH30" i="5"/>
  <c r="AK29" i="1"/>
  <c r="AJ29" i="1"/>
  <c r="AL29" i="1"/>
  <c r="F27" i="3"/>
  <c r="AH29" i="1"/>
  <c r="D31" i="1"/>
  <c r="I30" i="1"/>
  <c r="B28" i="3"/>
  <c r="D28" i="3" s="1"/>
  <c r="AB32" i="5"/>
  <c r="AD32" i="5" s="1"/>
  <c r="H32" i="5"/>
  <c r="E32" i="5"/>
  <c r="F32" i="5" s="1"/>
  <c r="J31" i="5"/>
  <c r="AM28" i="4"/>
  <c r="K29" i="4"/>
  <c r="AF29" i="4" s="1"/>
  <c r="J29" i="4"/>
  <c r="E30" i="4"/>
  <c r="F30" i="4" s="1"/>
  <c r="AB30" i="4"/>
  <c r="AD30" i="4" s="1"/>
  <c r="H30" i="4"/>
  <c r="AM30" i="5" l="1"/>
  <c r="C39" i="3"/>
  <c r="U41" i="1"/>
  <c r="K30" i="1"/>
  <c r="AF30" i="1" s="1"/>
  <c r="J30" i="1"/>
  <c r="AB31" i="1"/>
  <c r="AD31" i="1" s="1"/>
  <c r="H31" i="1"/>
  <c r="E31" i="1"/>
  <c r="F31" i="1" s="1"/>
  <c r="AE31" i="5"/>
  <c r="AG31" i="5" s="1"/>
  <c r="L31" i="5"/>
  <c r="G32" i="5"/>
  <c r="AM29" i="1"/>
  <c r="L29" i="4"/>
  <c r="AE29" i="4"/>
  <c r="AG29" i="4" s="1"/>
  <c r="G30" i="4"/>
  <c r="AE30" i="1" l="1"/>
  <c r="AG30" i="1" s="1"/>
  <c r="L30" i="1"/>
  <c r="G31" i="1"/>
  <c r="AL31" i="5"/>
  <c r="AK31" i="5"/>
  <c r="AJ31" i="5"/>
  <c r="AH31" i="5"/>
  <c r="Q46" i="1"/>
  <c r="W41" i="1"/>
  <c r="W43" i="1" s="1"/>
  <c r="Q50" i="1" s="1"/>
  <c r="V41" i="1"/>
  <c r="I32" i="5"/>
  <c r="D33" i="5"/>
  <c r="AK29" i="4"/>
  <c r="AL29" i="4"/>
  <c r="AJ29" i="4"/>
  <c r="AH29" i="4"/>
  <c r="I30" i="4"/>
  <c r="D31" i="4"/>
  <c r="Q48" i="1" l="1"/>
  <c r="R46" i="1"/>
  <c r="I31" i="1"/>
  <c r="D32" i="1"/>
  <c r="B29" i="3"/>
  <c r="D29" i="3" s="1"/>
  <c r="AK30" i="1"/>
  <c r="F28" i="3"/>
  <c r="AL30" i="1"/>
  <c r="AJ30" i="1"/>
  <c r="AH30" i="1"/>
  <c r="X41" i="1"/>
  <c r="V43" i="1"/>
  <c r="Q49" i="1" s="1"/>
  <c r="AB33" i="5"/>
  <c r="AD33" i="5" s="1"/>
  <c r="E33" i="5"/>
  <c r="F33" i="5" s="1"/>
  <c r="H33" i="5"/>
  <c r="K32" i="5"/>
  <c r="AF32" i="5" s="1"/>
  <c r="J32" i="5"/>
  <c r="AM29" i="4"/>
  <c r="AM31" i="5"/>
  <c r="H31" i="4"/>
  <c r="AB31" i="4"/>
  <c r="AD31" i="4" s="1"/>
  <c r="E31" i="4"/>
  <c r="F31" i="4" s="1"/>
  <c r="K30" i="4"/>
  <c r="AF30" i="4" s="1"/>
  <c r="J30" i="4"/>
  <c r="Q51" i="1" l="1"/>
  <c r="K31" i="1"/>
  <c r="AF31" i="1" s="1"/>
  <c r="J31" i="1"/>
  <c r="AM30" i="1"/>
  <c r="AE32" i="5"/>
  <c r="AG32" i="5" s="1"/>
  <c r="L32" i="5"/>
  <c r="AB32" i="1"/>
  <c r="AD32" i="1" s="1"/>
  <c r="E32" i="1"/>
  <c r="F32" i="1" s="1"/>
  <c r="H32" i="1"/>
  <c r="G33" i="5"/>
  <c r="G31" i="4"/>
  <c r="L30" i="4"/>
  <c r="AE30" i="4"/>
  <c r="AG30" i="4" s="1"/>
  <c r="I33" i="5" l="1"/>
  <c r="D34" i="5"/>
  <c r="AE31" i="1"/>
  <c r="AG31" i="1" s="1"/>
  <c r="L31" i="1"/>
  <c r="AK32" i="5"/>
  <c r="AJ32" i="5"/>
  <c r="AL32" i="5"/>
  <c r="AH32" i="5"/>
  <c r="G32" i="1"/>
  <c r="I31" i="4"/>
  <c r="D32" i="4"/>
  <c r="AK30" i="4"/>
  <c r="AL30" i="4"/>
  <c r="AJ30" i="4"/>
  <c r="AH30" i="4"/>
  <c r="AM32" i="5" l="1"/>
  <c r="H34" i="5"/>
  <c r="AB34" i="5"/>
  <c r="AD34" i="5" s="1"/>
  <c r="E34" i="5"/>
  <c r="F34" i="5" s="1"/>
  <c r="AK31" i="1"/>
  <c r="F29" i="3"/>
  <c r="AL31" i="1"/>
  <c r="AJ31" i="1"/>
  <c r="AH31" i="1"/>
  <c r="K33" i="5"/>
  <c r="AF33" i="5" s="1"/>
  <c r="J33" i="5"/>
  <c r="B30" i="3"/>
  <c r="D30" i="3" s="1"/>
  <c r="D33" i="1"/>
  <c r="I32" i="1"/>
  <c r="K31" i="4"/>
  <c r="AF31" i="4" s="1"/>
  <c r="J31" i="4"/>
  <c r="H32" i="4"/>
  <c r="E32" i="4"/>
  <c r="F32" i="4" s="1"/>
  <c r="AB32" i="4"/>
  <c r="AD32" i="4" s="1"/>
  <c r="AM30" i="4"/>
  <c r="L33" i="5" l="1"/>
  <c r="AE33" i="5"/>
  <c r="AG33" i="5" s="1"/>
  <c r="H33" i="1"/>
  <c r="E33" i="1"/>
  <c r="F33" i="1" s="1"/>
  <c r="AB33" i="1"/>
  <c r="AD33" i="1" s="1"/>
  <c r="G34" i="5"/>
  <c r="K32" i="1"/>
  <c r="AF32" i="1" s="1"/>
  <c r="J32" i="1"/>
  <c r="AM31" i="1"/>
  <c r="AE31" i="4"/>
  <c r="AG31" i="4" s="1"/>
  <c r="L31" i="4"/>
  <c r="G32" i="4"/>
  <c r="AL33" i="5" l="1"/>
  <c r="AJ33" i="5"/>
  <c r="AK33" i="5"/>
  <c r="AH33" i="5"/>
  <c r="AE32" i="1"/>
  <c r="AG32" i="1" s="1"/>
  <c r="L32" i="1"/>
  <c r="D35" i="5"/>
  <c r="I34" i="5"/>
  <c r="G33" i="1"/>
  <c r="AL31" i="4"/>
  <c r="AK31" i="4"/>
  <c r="AJ31" i="4"/>
  <c r="AH31" i="4"/>
  <c r="I32" i="4"/>
  <c r="D33" i="4"/>
  <c r="AM33" i="5" l="1"/>
  <c r="AL32" i="1"/>
  <c r="AJ32" i="1"/>
  <c r="AK32" i="1"/>
  <c r="F30" i="3"/>
  <c r="AH32" i="1"/>
  <c r="H35" i="5"/>
  <c r="AB35" i="5"/>
  <c r="AD35" i="5" s="1"/>
  <c r="E35" i="5"/>
  <c r="F35" i="5" s="1"/>
  <c r="B31" i="3"/>
  <c r="D31" i="3" s="1"/>
  <c r="I33" i="1"/>
  <c r="D34" i="1"/>
  <c r="K34" i="5"/>
  <c r="AF34" i="5" s="1"/>
  <c r="J34" i="5"/>
  <c r="AM31" i="4"/>
  <c r="K32" i="4"/>
  <c r="AF32" i="4" s="1"/>
  <c r="J32" i="4"/>
  <c r="E33" i="4"/>
  <c r="F33" i="4" s="1"/>
  <c r="AB33" i="4"/>
  <c r="AD33" i="4" s="1"/>
  <c r="H33" i="4"/>
  <c r="K33" i="1" l="1"/>
  <c r="AF33" i="1" s="1"/>
  <c r="J33" i="1"/>
  <c r="AM32" i="1"/>
  <c r="AB34" i="1"/>
  <c r="AD34" i="1" s="1"/>
  <c r="H34" i="1"/>
  <c r="E34" i="1"/>
  <c r="F34" i="1" s="1"/>
  <c r="L34" i="5"/>
  <c r="AE34" i="5"/>
  <c r="AG34" i="5" s="1"/>
  <c r="G35" i="5"/>
  <c r="AE32" i="4"/>
  <c r="AG32" i="4" s="1"/>
  <c r="L32" i="4"/>
  <c r="G33" i="4"/>
  <c r="AK34" i="5" l="1"/>
  <c r="AL34" i="5"/>
  <c r="AJ34" i="5"/>
  <c r="AH34" i="5"/>
  <c r="D36" i="5"/>
  <c r="I35" i="5"/>
  <c r="AE33" i="1"/>
  <c r="AG33" i="1" s="1"/>
  <c r="L33" i="1"/>
  <c r="G34" i="1"/>
  <c r="AL32" i="4"/>
  <c r="AJ32" i="4"/>
  <c r="AK32" i="4"/>
  <c r="AH32" i="4"/>
  <c r="I33" i="4"/>
  <c r="D34" i="4"/>
  <c r="AM34" i="5" l="1"/>
  <c r="AJ33" i="1"/>
  <c r="F31" i="3"/>
  <c r="AK33" i="1"/>
  <c r="AL33" i="1"/>
  <c r="AH33" i="1"/>
  <c r="AB36" i="5"/>
  <c r="AD36" i="5" s="1"/>
  <c r="H36" i="5"/>
  <c r="E36" i="5"/>
  <c r="F36" i="5" s="1"/>
  <c r="K35" i="5"/>
  <c r="AF35" i="5" s="1"/>
  <c r="J35" i="5"/>
  <c r="I34" i="1"/>
  <c r="B32" i="3"/>
  <c r="D32" i="3" s="1"/>
  <c r="D35" i="1"/>
  <c r="AM32" i="4"/>
  <c r="K33" i="4"/>
  <c r="AF33" i="4" s="1"/>
  <c r="J33" i="4"/>
  <c r="E34" i="4"/>
  <c r="F34" i="4" s="1"/>
  <c r="H34" i="4"/>
  <c r="AB34" i="4"/>
  <c r="AD34" i="4" s="1"/>
  <c r="AM33" i="1" l="1"/>
  <c r="K34" i="1"/>
  <c r="AF34" i="1" s="1"/>
  <c r="J34" i="1"/>
  <c r="E35" i="1"/>
  <c r="F35" i="1" s="1"/>
  <c r="AB35" i="1"/>
  <c r="AD35" i="1" s="1"/>
  <c r="H35" i="1"/>
  <c r="L35" i="5"/>
  <c r="AE35" i="5"/>
  <c r="AG35" i="5" s="1"/>
  <c r="G36" i="5"/>
  <c r="AE33" i="4"/>
  <c r="AG33" i="4" s="1"/>
  <c r="L33" i="4"/>
  <c r="G34" i="4"/>
  <c r="AL35" i="5" l="1"/>
  <c r="AK35" i="5"/>
  <c r="AJ35" i="5"/>
  <c r="AH35" i="5"/>
  <c r="D37" i="5"/>
  <c r="I36" i="5"/>
  <c r="AE34" i="1"/>
  <c r="AG34" i="1" s="1"/>
  <c r="L34" i="1"/>
  <c r="G35" i="1"/>
  <c r="AL33" i="4"/>
  <c r="AJ33" i="4"/>
  <c r="AK33" i="4"/>
  <c r="AH33" i="4"/>
  <c r="I34" i="4"/>
  <c r="D35" i="4"/>
  <c r="AM35" i="5" l="1"/>
  <c r="K36" i="5"/>
  <c r="AF36" i="5" s="1"/>
  <c r="J36" i="5"/>
  <c r="AM33" i="4"/>
  <c r="B33" i="3"/>
  <c r="D33" i="3" s="1"/>
  <c r="I35" i="1"/>
  <c r="D36" i="1"/>
  <c r="AB37" i="5"/>
  <c r="AD37" i="5" s="1"/>
  <c r="H37" i="5"/>
  <c r="E37" i="5"/>
  <c r="F37" i="5" s="1"/>
  <c r="F32" i="3"/>
  <c r="AL34" i="1"/>
  <c r="AJ34" i="1"/>
  <c r="AK34" i="1"/>
  <c r="AH34" i="1"/>
  <c r="K34" i="4"/>
  <c r="AF34" i="4" s="1"/>
  <c r="J34" i="4"/>
  <c r="H35" i="4"/>
  <c r="E35" i="4"/>
  <c r="F35" i="4" s="1"/>
  <c r="AB35" i="4"/>
  <c r="AD35" i="4" s="1"/>
  <c r="AE36" i="5" l="1"/>
  <c r="AG36" i="5" s="1"/>
  <c r="L36" i="5"/>
  <c r="G37" i="5"/>
  <c r="E36" i="1"/>
  <c r="F36" i="1" s="1"/>
  <c r="H36" i="1"/>
  <c r="AB36" i="1"/>
  <c r="AD36" i="1" s="1"/>
  <c r="AM34" i="1"/>
  <c r="K35" i="1"/>
  <c r="AF35" i="1" s="1"/>
  <c r="J35" i="1"/>
  <c r="AE34" i="4"/>
  <c r="AG34" i="4" s="1"/>
  <c r="L34" i="4"/>
  <c r="G35" i="4"/>
  <c r="L35" i="1" l="1"/>
  <c r="AE35" i="1"/>
  <c r="AG35" i="1" s="1"/>
  <c r="G36" i="1"/>
  <c r="AK36" i="5"/>
  <c r="AJ36" i="5"/>
  <c r="AL36" i="5"/>
  <c r="AH36" i="5"/>
  <c r="D38" i="5"/>
  <c r="I37" i="5"/>
  <c r="AK34" i="4"/>
  <c r="AJ34" i="4"/>
  <c r="AL34" i="4"/>
  <c r="AH34" i="4"/>
  <c r="I35" i="4"/>
  <c r="D36" i="4"/>
  <c r="K37" i="5" l="1"/>
  <c r="AF37" i="5" s="1"/>
  <c r="J37" i="5"/>
  <c r="AB38" i="5"/>
  <c r="AD38" i="5" s="1"/>
  <c r="H38" i="5"/>
  <c r="E38" i="5"/>
  <c r="F38" i="5" s="1"/>
  <c r="AM36" i="5"/>
  <c r="F33" i="3"/>
  <c r="AK35" i="1"/>
  <c r="AL35" i="1"/>
  <c r="AJ35" i="1"/>
  <c r="AH35" i="1"/>
  <c r="D37" i="1"/>
  <c r="I36" i="1"/>
  <c r="B34" i="3"/>
  <c r="D34" i="3" s="1"/>
  <c r="AM34" i="4"/>
  <c r="K35" i="4"/>
  <c r="AF35" i="4" s="1"/>
  <c r="J35" i="4"/>
  <c r="H36" i="4"/>
  <c r="AB36" i="4"/>
  <c r="AD36" i="4" s="1"/>
  <c r="E36" i="4"/>
  <c r="F36" i="4" s="1"/>
  <c r="AM35" i="1" l="1"/>
  <c r="H37" i="1"/>
  <c r="AB37" i="1"/>
  <c r="AD37" i="1" s="1"/>
  <c r="E37" i="1"/>
  <c r="F37" i="1" s="1"/>
  <c r="G38" i="5"/>
  <c r="AE37" i="5"/>
  <c r="AG37" i="5" s="1"/>
  <c r="L37" i="5"/>
  <c r="K36" i="1"/>
  <c r="AF36" i="1" s="1"/>
  <c r="J36" i="1"/>
  <c r="L35" i="4"/>
  <c r="AE35" i="4"/>
  <c r="AG35" i="4" s="1"/>
  <c r="G36" i="4"/>
  <c r="I38" i="5" l="1"/>
  <c r="D39" i="5"/>
  <c r="AK37" i="5"/>
  <c r="AJ37" i="5"/>
  <c r="AL37" i="5"/>
  <c r="AH37" i="5"/>
  <c r="L36" i="1"/>
  <c r="AE36" i="1"/>
  <c r="AG36" i="1" s="1"/>
  <c r="G37" i="1"/>
  <c r="AJ35" i="4"/>
  <c r="AL35" i="4"/>
  <c r="AK35" i="4"/>
  <c r="AH35" i="4"/>
  <c r="I36" i="4"/>
  <c r="D37" i="4"/>
  <c r="AM35" i="4" l="1"/>
  <c r="K38" i="5"/>
  <c r="AF38" i="5" s="1"/>
  <c r="J38" i="5"/>
  <c r="AB39" i="5"/>
  <c r="AD39" i="5" s="1"/>
  <c r="H39" i="5"/>
  <c r="E39" i="5"/>
  <c r="F39" i="5" s="1"/>
  <c r="AM37" i="5"/>
  <c r="AL36" i="1"/>
  <c r="F34" i="3"/>
  <c r="AK36" i="1"/>
  <c r="AJ36" i="1"/>
  <c r="AH36" i="1"/>
  <c r="B35" i="3"/>
  <c r="D35" i="3" s="1"/>
  <c r="D38" i="1"/>
  <c r="I37" i="1"/>
  <c r="K36" i="4"/>
  <c r="AF36" i="4" s="1"/>
  <c r="J36" i="4"/>
  <c r="H37" i="4"/>
  <c r="E37" i="4"/>
  <c r="F37" i="4" s="1"/>
  <c r="AB37" i="4"/>
  <c r="AD37" i="4" s="1"/>
  <c r="AM36" i="1" l="1"/>
  <c r="AE38" i="5"/>
  <c r="AG38" i="5" s="1"/>
  <c r="L38" i="5"/>
  <c r="AB38" i="1"/>
  <c r="AD38" i="1" s="1"/>
  <c r="H38" i="1"/>
  <c r="E38" i="1"/>
  <c r="F38" i="1" s="1"/>
  <c r="G39" i="5"/>
  <c r="K37" i="1"/>
  <c r="AF37" i="1" s="1"/>
  <c r="J37" i="1"/>
  <c r="L36" i="4"/>
  <c r="AE36" i="4"/>
  <c r="AG36" i="4" s="1"/>
  <c r="G37" i="4"/>
  <c r="AJ38" i="5" l="1"/>
  <c r="AL38" i="5"/>
  <c r="AK38" i="5"/>
  <c r="AH38" i="5"/>
  <c r="G38" i="1"/>
  <c r="I39" i="5"/>
  <c r="D40" i="5"/>
  <c r="L37" i="1"/>
  <c r="AE37" i="1"/>
  <c r="AG37" i="1" s="1"/>
  <c r="AJ36" i="4"/>
  <c r="AL36" i="4"/>
  <c r="AK36" i="4"/>
  <c r="AH36" i="4"/>
  <c r="I37" i="4"/>
  <c r="D38" i="4"/>
  <c r="AM36" i="4" l="1"/>
  <c r="AJ37" i="1"/>
  <c r="AL37" i="1"/>
  <c r="F35" i="3"/>
  <c r="AK37" i="1"/>
  <c r="AH37" i="1"/>
  <c r="D39" i="1"/>
  <c r="I38" i="1"/>
  <c r="B36" i="3"/>
  <c r="D36" i="3" s="1"/>
  <c r="K39" i="5"/>
  <c r="AF39" i="5" s="1"/>
  <c r="J39" i="5"/>
  <c r="E40" i="5"/>
  <c r="F40" i="5" s="1"/>
  <c r="AB40" i="5"/>
  <c r="AD40" i="5" s="1"/>
  <c r="H40" i="5"/>
  <c r="AM38" i="5"/>
  <c r="K37" i="4"/>
  <c r="AF37" i="4" s="1"/>
  <c r="J37" i="4"/>
  <c r="H38" i="4"/>
  <c r="E38" i="4"/>
  <c r="F38" i="4" s="1"/>
  <c r="AB38" i="4"/>
  <c r="AD38" i="4" s="1"/>
  <c r="AM37" i="1" l="1"/>
  <c r="H39" i="1"/>
  <c r="E39" i="1"/>
  <c r="F39" i="1" s="1"/>
  <c r="AB39" i="1"/>
  <c r="AD39" i="1" s="1"/>
  <c r="L39" i="5"/>
  <c r="AE39" i="5"/>
  <c r="AG39" i="5" s="1"/>
  <c r="K38" i="1"/>
  <c r="AF38" i="1" s="1"/>
  <c r="J38" i="1"/>
  <c r="G40" i="5"/>
  <c r="AE37" i="4"/>
  <c r="AG37" i="4" s="1"/>
  <c r="L37" i="4"/>
  <c r="G38" i="4"/>
  <c r="G39" i="1" l="1"/>
  <c r="AL39" i="5"/>
  <c r="AK39" i="5"/>
  <c r="AJ39" i="5"/>
  <c r="AH39" i="5"/>
  <c r="D41" i="5"/>
  <c r="I40" i="5"/>
  <c r="L38" i="1"/>
  <c r="AE38" i="1"/>
  <c r="AG38" i="1" s="1"/>
  <c r="AK37" i="4"/>
  <c r="AL37" i="4"/>
  <c r="AJ37" i="4"/>
  <c r="AH37" i="4"/>
  <c r="D39" i="4"/>
  <c r="I38" i="4"/>
  <c r="AB41" i="5" l="1"/>
  <c r="AD41" i="5" s="1"/>
  <c r="H41" i="5"/>
  <c r="E41" i="5"/>
  <c r="D40" i="1"/>
  <c r="B37" i="3"/>
  <c r="D37" i="3" s="1"/>
  <c r="I39" i="1"/>
  <c r="AJ38" i="1"/>
  <c r="F36" i="3"/>
  <c r="AK38" i="1"/>
  <c r="AL38" i="1"/>
  <c r="AH38" i="1"/>
  <c r="AM39" i="5"/>
  <c r="K40" i="5"/>
  <c r="AF40" i="5" s="1"/>
  <c r="J40" i="5"/>
  <c r="AB39" i="4"/>
  <c r="AD39" i="4" s="1"/>
  <c r="H39" i="4"/>
  <c r="E39" i="4"/>
  <c r="F39" i="4" s="1"/>
  <c r="G39" i="4" s="1"/>
  <c r="K38" i="4"/>
  <c r="AF38" i="4" s="1"/>
  <c r="J38" i="4"/>
  <c r="AM37" i="4"/>
  <c r="AM38" i="1" l="1"/>
  <c r="AB40" i="1"/>
  <c r="AD40" i="1" s="1"/>
  <c r="H40" i="1"/>
  <c r="E40" i="1"/>
  <c r="F40" i="1" s="1"/>
  <c r="F41" i="5"/>
  <c r="F43" i="5" s="1"/>
  <c r="E43" i="5"/>
  <c r="L40" i="5"/>
  <c r="AE40" i="5"/>
  <c r="AG40" i="5" s="1"/>
  <c r="K39" i="1"/>
  <c r="AF39" i="1" s="1"/>
  <c r="J39" i="1"/>
  <c r="I39" i="4"/>
  <c r="K39" i="4" s="1"/>
  <c r="AF39" i="4" s="1"/>
  <c r="D40" i="4"/>
  <c r="AE38" i="4"/>
  <c r="AG38" i="4" s="1"/>
  <c r="L38" i="4"/>
  <c r="E45" i="5" l="1"/>
  <c r="G40" i="1"/>
  <c r="D41" i="1" s="1"/>
  <c r="G41" i="5"/>
  <c r="I41" i="5" s="1"/>
  <c r="AE39" i="1"/>
  <c r="AG39" i="1" s="1"/>
  <c r="L39" i="1"/>
  <c r="AL40" i="5"/>
  <c r="AJ40" i="5"/>
  <c r="AK40" i="5"/>
  <c r="AH40" i="5"/>
  <c r="H40" i="4"/>
  <c r="E40" i="4"/>
  <c r="F40" i="4" s="1"/>
  <c r="AB40" i="4"/>
  <c r="AD40" i="4" s="1"/>
  <c r="AL38" i="4"/>
  <c r="AJ38" i="4"/>
  <c r="AK38" i="4"/>
  <c r="AH38" i="4"/>
  <c r="J39" i="4"/>
  <c r="B38" i="3" l="1"/>
  <c r="D38" i="3" s="1"/>
  <c r="I40" i="1"/>
  <c r="K40" i="1" s="1"/>
  <c r="AF40" i="1" s="1"/>
  <c r="K41" i="5"/>
  <c r="E46" i="5"/>
  <c r="J41" i="5"/>
  <c r="H41" i="1"/>
  <c r="E41" i="1"/>
  <c r="AB41" i="1"/>
  <c r="AD41" i="1" s="1"/>
  <c r="AM40" i="5"/>
  <c r="AK39" i="1"/>
  <c r="AJ39" i="1"/>
  <c r="F37" i="3"/>
  <c r="AL39" i="1"/>
  <c r="AH39" i="1"/>
  <c r="AM38" i="4"/>
  <c r="L39" i="4"/>
  <c r="AE39" i="4"/>
  <c r="AG39" i="4" s="1"/>
  <c r="G40" i="4"/>
  <c r="J40" i="1" l="1"/>
  <c r="AE40" i="1" s="1"/>
  <c r="AG40" i="1" s="1"/>
  <c r="AJ40" i="1" s="1"/>
  <c r="AF41" i="5"/>
  <c r="AL64" i="5" s="1"/>
  <c r="K43" i="5"/>
  <c r="E50" i="5" s="1"/>
  <c r="L41" i="5"/>
  <c r="AE41" i="5"/>
  <c r="J43" i="5"/>
  <c r="E49" i="5" s="1"/>
  <c r="F46" i="5"/>
  <c r="E48" i="5"/>
  <c r="F41" i="1"/>
  <c r="F43" i="1" s="1"/>
  <c r="E43" i="1"/>
  <c r="AM39" i="1"/>
  <c r="AJ39" i="4"/>
  <c r="AL39" i="4"/>
  <c r="AK39" i="4"/>
  <c r="AH39" i="4"/>
  <c r="D41" i="4"/>
  <c r="I40" i="4"/>
  <c r="AK40" i="1" l="1"/>
  <c r="AH40" i="1"/>
  <c r="F38" i="3"/>
  <c r="AL40" i="1"/>
  <c r="L40" i="1"/>
  <c r="G41" i="1"/>
  <c r="I41" i="1" s="1"/>
  <c r="AG41" i="5"/>
  <c r="AH41" i="5" s="1"/>
  <c r="AM39" i="4"/>
  <c r="E51" i="5"/>
  <c r="E45" i="1"/>
  <c r="AB41" i="4"/>
  <c r="AD41" i="4" s="1"/>
  <c r="E41" i="4"/>
  <c r="H41" i="4"/>
  <c r="K40" i="4"/>
  <c r="AF40" i="4" s="1"/>
  <c r="J40" i="4"/>
  <c r="AM40" i="1" l="1"/>
  <c r="B39" i="3"/>
  <c r="D39" i="3" s="1"/>
  <c r="AL59" i="5"/>
  <c r="AK41" i="5"/>
  <c r="AK43" i="5" s="1"/>
  <c r="U6" i="3" s="1"/>
  <c r="AL51" i="5"/>
  <c r="AM51" i="5" s="1"/>
  <c r="AL41" i="5"/>
  <c r="AL43" i="5" s="1"/>
  <c r="V6" i="3" s="1"/>
  <c r="AJ41" i="5"/>
  <c r="E46" i="1"/>
  <c r="K41" i="1"/>
  <c r="J41" i="1"/>
  <c r="F41" i="4"/>
  <c r="F43" i="4" s="1"/>
  <c r="E43" i="4"/>
  <c r="L40" i="4"/>
  <c r="AE40" i="4"/>
  <c r="AG40" i="4" s="1"/>
  <c r="AL52" i="5" l="1"/>
  <c r="AM41" i="5"/>
  <c r="AM43" i="5" s="1"/>
  <c r="AM45" i="5" s="1"/>
  <c r="AJ43" i="5"/>
  <c r="T6" i="3" s="1"/>
  <c r="E48" i="1"/>
  <c r="F46" i="1"/>
  <c r="AF41" i="1"/>
  <c r="K43" i="1"/>
  <c r="E50" i="1" s="1"/>
  <c r="L41" i="1"/>
  <c r="AE41" i="1"/>
  <c r="J43" i="1"/>
  <c r="E49" i="1" s="1"/>
  <c r="E45" i="4"/>
  <c r="AJ40" i="4"/>
  <c r="AK40" i="4"/>
  <c r="AL40" i="4"/>
  <c r="AH40" i="4"/>
  <c r="G41" i="4"/>
  <c r="AK45" i="5" l="1"/>
  <c r="AJ45" i="5"/>
  <c r="AL45" i="5"/>
  <c r="AG41" i="1"/>
  <c r="AM40" i="4"/>
  <c r="E51" i="1"/>
  <c r="I41" i="4"/>
  <c r="F39" i="3" l="1"/>
  <c r="AK41" i="1"/>
  <c r="AK43" i="1" s="1"/>
  <c r="AL41" i="1"/>
  <c r="AL43" i="1" s="1"/>
  <c r="AJ41" i="1"/>
  <c r="AH41" i="1"/>
  <c r="E46" i="4"/>
  <c r="K41" i="4"/>
  <c r="J41" i="4"/>
  <c r="U4" i="3" l="1"/>
  <c r="V4" i="3"/>
  <c r="AM41" i="1"/>
  <c r="AM43" i="1" s="1"/>
  <c r="AM45" i="1" s="1"/>
  <c r="AJ43" i="1"/>
  <c r="E48" i="4"/>
  <c r="F46" i="4"/>
  <c r="AF41" i="4"/>
  <c r="AL63" i="5" s="1"/>
  <c r="AL66" i="5" s="1"/>
  <c r="AM66" i="5" s="1"/>
  <c r="K43" i="4"/>
  <c r="E50" i="4" s="1"/>
  <c r="AE41" i="4"/>
  <c r="L41" i="4"/>
  <c r="J43" i="4"/>
  <c r="E49" i="4" s="1"/>
  <c r="AL45" i="1" l="1"/>
  <c r="AK45" i="1"/>
  <c r="T4" i="3"/>
  <c r="W4" i="3" s="1"/>
  <c r="AJ45" i="1"/>
  <c r="AG41" i="4"/>
  <c r="E51" i="4"/>
  <c r="AK41" i="4" l="1"/>
  <c r="AK43" i="4" s="1"/>
  <c r="U5" i="3" s="1"/>
  <c r="AJ41" i="4"/>
  <c r="AL41" i="4"/>
  <c r="AL43" i="4" s="1"/>
  <c r="V5" i="3" s="1"/>
  <c r="AL58" i="5"/>
  <c r="AL61" i="5" s="1"/>
  <c r="AL68" i="5" s="1"/>
  <c r="AH41" i="4"/>
  <c r="AK48" i="4" l="1"/>
  <c r="AM41" i="4"/>
  <c r="AM43" i="4" s="1"/>
  <c r="AK45" i="4" s="1"/>
  <c r="AJ43" i="4"/>
  <c r="T5" i="3" s="1"/>
  <c r="W5" i="3" s="1"/>
  <c r="AL48" i="4"/>
  <c r="AM68" i="5"/>
  <c r="AM61" i="5"/>
  <c r="AL45" i="4" l="1"/>
  <c r="AJ48" i="4"/>
  <c r="AJ45" i="4"/>
  <c r="W6" i="3"/>
  <c r="AL70" i="5"/>
  <c r="AM70" i="5" s="1"/>
  <c r="AM45" i="4"/>
  <c r="AM48" i="4"/>
</calcChain>
</file>

<file path=xl/sharedStrings.xml><?xml version="1.0" encoding="utf-8"?>
<sst xmlns="http://schemas.openxmlformats.org/spreadsheetml/2006/main" count="366" uniqueCount="213">
  <si>
    <t>Month</t>
  </si>
  <si>
    <t>per annum</t>
  </si>
  <si>
    <t>per month</t>
  </si>
  <si>
    <t>Phase 1</t>
  </si>
  <si>
    <t>Phase 2</t>
  </si>
  <si>
    <t>Phase</t>
  </si>
  <si>
    <t>Check that either surplus or deficit is recorded</t>
  </si>
  <si>
    <t>Total</t>
  </si>
  <si>
    <t>Cumulative surplus recorded</t>
  </si>
  <si>
    <t>Cumulative deficit recorded</t>
  </si>
  <si>
    <t>Reconciles with change in count</t>
  </si>
  <si>
    <t>Through the period</t>
  </si>
  <si>
    <t>AGGREGATE</t>
  </si>
  <si>
    <t>Check</t>
  </si>
  <si>
    <t>Maintennace Cost</t>
  </si>
  <si>
    <t>Total Cost</t>
  </si>
  <si>
    <t>GOAL SEEK</t>
  </si>
  <si>
    <t>Required Surplus</t>
  </si>
  <si>
    <t>Actual Surplus</t>
  </si>
  <si>
    <t>Difference to be goal seeked</t>
  </si>
  <si>
    <t>Scenario 2 related changes</t>
  </si>
  <si>
    <t>Surplus at end</t>
  </si>
  <si>
    <t>Start Surplus</t>
  </si>
  <si>
    <t>Base</t>
  </si>
  <si>
    <t>Maintenance</t>
  </si>
  <si>
    <t>Scn 2</t>
  </si>
  <si>
    <t>Scn 3</t>
  </si>
  <si>
    <t>Conversion</t>
  </si>
  <si>
    <t>COST CALCS</t>
  </si>
  <si>
    <t>Renovation Cost</t>
  </si>
  <si>
    <t>Shortage Cost</t>
  </si>
  <si>
    <t>Scenario 3 related changes</t>
  </si>
  <si>
    <t>Scn2 average surplus</t>
  </si>
  <si>
    <t>Scn3 average surplus</t>
  </si>
  <si>
    <t>Cost saved</t>
  </si>
  <si>
    <t>Scn2 renovations</t>
  </si>
  <si>
    <t>Scn3 renovations</t>
  </si>
  <si>
    <t>Extra cost</t>
  </si>
  <si>
    <t>Net saving</t>
  </si>
  <si>
    <t>Actual difference</t>
  </si>
  <si>
    <t>Reasonableness Check vs Scenario 2</t>
  </si>
  <si>
    <t>Contribution_Surplus</t>
  </si>
  <si>
    <t>Demand_Excess</t>
  </si>
  <si>
    <t>Phase (Purchase agreed for the month?)</t>
  </si>
  <si>
    <t>End_Aggregate_Surplus</t>
  </si>
  <si>
    <t>Shortage Penalty</t>
  </si>
  <si>
    <t xml:space="preserve">Bank Capacity </t>
  </si>
  <si>
    <t>End month for Uradium purchase</t>
  </si>
  <si>
    <t>Phase 1 Max Month (Puranium)</t>
  </si>
  <si>
    <t>Cost of renovation of lockers</t>
  </si>
  <si>
    <t>Maintenance cost of surplus lockers</t>
  </si>
  <si>
    <t>Penalty for deficit in lockers</t>
  </si>
  <si>
    <t>Monthly uradium addition</t>
  </si>
  <si>
    <t>Puranium</t>
  </si>
  <si>
    <t>Uradium</t>
  </si>
  <si>
    <t>rod @start</t>
  </si>
  <si>
    <t>New_rod_Added</t>
  </si>
  <si>
    <t>rod _decaying</t>
  </si>
  <si>
    <t>rod@end</t>
  </si>
  <si>
    <t>lockers_Req_Start</t>
  </si>
  <si>
    <t>lockers_Req_End</t>
  </si>
  <si>
    <t>Expected rod count</t>
  </si>
  <si>
    <t>Actual rod count</t>
  </si>
  <si>
    <t>Net change in rod count</t>
  </si>
  <si>
    <t>lockers avialable in bank</t>
  </si>
  <si>
    <t>Occupied_Start_Puradium</t>
  </si>
  <si>
    <t>Occupied_Start_uradium</t>
  </si>
  <si>
    <t>Start_total_Surplus</t>
  </si>
  <si>
    <t>Free_lockers_Added</t>
  </si>
  <si>
    <t>Excess_lockers_Utilised</t>
  </si>
  <si>
    <t>Puradium</t>
  </si>
  <si>
    <t>rod_end</t>
  </si>
  <si>
    <t>rod _end</t>
  </si>
  <si>
    <t>Rate of decay of Puranium</t>
  </si>
  <si>
    <t>Rate of decay of uradium</t>
  </si>
  <si>
    <t>Rate of multiplication of Puranium</t>
  </si>
  <si>
    <t>Actual rods count</t>
  </si>
  <si>
    <t>Net change in rods count</t>
  </si>
  <si>
    <t>Number of Uradium at Start</t>
  </si>
  <si>
    <t>per locker per month</t>
  </si>
  <si>
    <t>per locker</t>
  </si>
  <si>
    <t>per locker, per month</t>
  </si>
  <si>
    <t>Number of Puranium  at start</t>
  </si>
  <si>
    <t>Expecting prohibition from the Government</t>
  </si>
  <si>
    <t>To optimise the the lockers</t>
  </si>
  <si>
    <t>Monthly Uradium addition</t>
  </si>
  <si>
    <t>Reasonableness Check added below the Goal Seek working.</t>
  </si>
  <si>
    <t>Both have nil deficit cost.</t>
  </si>
  <si>
    <t>Compared to Scn2:</t>
  </si>
  <si>
    <t>Since Base scenario has deficit and Scenario 2 has excess lockers, the Scn 3 should lie between these 2 in terms of Maintenance Cost.  It does.</t>
  </si>
  <si>
    <t xml:space="preserve">Reasonableness check: Setting the cell Parameters C35 back to 10 should replicate Base result.  This was observed to work ok.  </t>
  </si>
  <si>
    <t>Set Cell AL52…equal to 0…by changing cell Parameters sheet Cell C35.</t>
  </si>
  <si>
    <t>For this;</t>
  </si>
  <si>
    <t>Now Goal Seek is used to solve for the required Uradium addition in Parameters sheet for Uradium addition in Scenario 3. (Cell Parameters!C35)</t>
  </si>
  <si>
    <t>Now a difference is calculated in cell AL52 between the Required and Actual End Surplus.</t>
  </si>
  <si>
    <t>Actual end period surplus is set equal to End_Aggregate_Surplus (36) of this sheet.</t>
  </si>
  <si>
    <t>Cell AL50 is set = 0 to denote the required end period surplus.</t>
  </si>
  <si>
    <t>In column Q, the Parameters sheet now refers to the Uradium addition relevant to Scenario3 which is set to a random value (this will be goal seeked).</t>
  </si>
  <si>
    <t>The changes from the Projections_Base sheet are highlighted in dark green Colour.</t>
  </si>
  <si>
    <t>This worksheet is a copy of the Projection_Base worksheet with modification being done to reflect the Uradium purchase.</t>
  </si>
  <si>
    <t>This worksheet performs all the calculations as done in Base sheet for the scenario where the Uradium purchases are required to be estimated so that the end position does not have any deficit.</t>
  </si>
  <si>
    <t>Projections - Scn3</t>
  </si>
  <si>
    <t>Check:  If Parameter for Scenario 2 is made same as Base, the total cost outcome remains the same as Base.</t>
  </si>
  <si>
    <t>Renovation cost drops as new lockers demand is less, penalty cost goes away as no shortage occurs and maintenance cost goes up.</t>
  </si>
  <si>
    <t>Other checks still hold good.</t>
  </si>
  <si>
    <t>Uradiumpopulation, as expected falls.  There is no excess lockers required for Uradiums as only decaying applies.  Hence Uradiums create surplus lockers now.</t>
  </si>
  <si>
    <t>In column Q, the Parameters sheet now refers to the Uradiumaddition relevant to Scenario2 i.e. value of 0.</t>
  </si>
  <si>
    <t>This worksheet performs all the calculations as done in Base sheet for the scenario where no Uradiums are purchased.</t>
  </si>
  <si>
    <t>Projections - Scn2</t>
  </si>
  <si>
    <t>No month should have both Shortage and Maintenance Cost.</t>
  </si>
  <si>
    <t xml:space="preserve">Reasonableness Check: </t>
  </si>
  <si>
    <t>Total Cost (t) = Renovation_Cost (t) + Shortage_Cost (t) + Maintenance_Cost (t)</t>
  </si>
  <si>
    <t>Maintenance_Cost (t) = End_Aggregate_Surplus (t) * maintenance cost per locker.</t>
  </si>
  <si>
    <t>Maintenance_Cost is applicable only when the End_Aggregate_Surplus is positive, else it is 0.</t>
  </si>
  <si>
    <t>Shortage_Cost (t) = - End_Aggregate_Surplus (t) * penalty per locker referenced from the Parameters sheet.</t>
  </si>
  <si>
    <t>If End_Aggregate_Surplus (t) is negative, then</t>
  </si>
  <si>
    <t>Shortage_Cost (t) is only applicable if End_Aggregate_Surplus (t) is negative, else it is set to 0</t>
  </si>
  <si>
    <t>Renovation_Cost (t) = {Start_Aggregate_Surplus (t) + Free_lockers_Added (t)} * per locker renovation cost referenced from the Parameters sheet.</t>
  </si>
  <si>
    <t>If the End_Aggregate_Surplus (t) is negative, then:</t>
  </si>
  <si>
    <t>Renovation_Cost (t) = Excess_lockers_Utilised (t) * per locker renovation cost referenced from the Parameters sheet.</t>
  </si>
  <si>
    <t>If the End_Aggregate_Surplus (t) is positive, then:</t>
  </si>
  <si>
    <t>Renovation_Cost (t) calculation varies depending on 2 scenarios:</t>
  </si>
  <si>
    <t>Cost Calcs: Column AJ to AM</t>
  </si>
  <si>
    <t>Auto Check: End Aggregate Surplus should be equal to locker Capacity of the bank less the end count of the Radioactive rods for the respective months.</t>
  </si>
  <si>
    <t>End_Aggregate_Surplus (t) = Start_Aggregate_Surplus (t) + Free_lockers_Added (t) - Excess_lockers_Utilised (t)</t>
  </si>
  <si>
    <t>Excess_lockers_Utilised (t) = Summation (Demand_Excess (t)) for Puranium and Uradiums</t>
  </si>
  <si>
    <t>Free_lockers_Added (t) = Summation (Contribution_Surplus (t)) for Puranium and Uradium</t>
  </si>
  <si>
    <t>Start_Aggregate_Surplus (t) = locker_Availability_bank (t) - Occupied_Start_Puranium(t) - Occupied_Start_Uradiums(t)</t>
  </si>
  <si>
    <t>Occupied_Start_Puranium(t) and Occupied_Start_Uradiums(t) are set as Radioactive rods_Start (t) from their respective calculations earlier in the sheet.</t>
  </si>
  <si>
    <t>locker_Availability_bank (t) is set constant for every month as the maximum capacity of the bank as per the information given.</t>
  </si>
  <si>
    <t>The calculations perfomed are as follows:</t>
  </si>
  <si>
    <t>Aggregate Calcs: Column Z to AG</t>
  </si>
  <si>
    <t>Similar checks have been performed for Uradiumsas performed for Radioactive rods.</t>
  </si>
  <si>
    <t>The result has been rounded to nearest integer using ROUND Excel function.</t>
  </si>
  <si>
    <t xml:space="preserve">Radioactive rods_Exiting (t) = {Radioactive rods_Start (t) + New_Radioactive rods_Added (t)} * monthly decaying rate .  </t>
  </si>
  <si>
    <t xml:space="preserve">This is calculated as: </t>
  </si>
  <si>
    <t>Radioactive rods exiting during the month</t>
  </si>
  <si>
    <t xml:space="preserve">New_Radioactive rods_Added (t)= Phase flag for month (t) * per month purchase agreed.  This is read from the parameters sheet.  </t>
  </si>
  <si>
    <t>Radioactive rods added during the month</t>
  </si>
  <si>
    <t>Hence, the Phase calculation is kept such that this cokumn remains 1 till month 19 and 0 thereafter.  (19 is read from the Parameters sheet).</t>
  </si>
  <si>
    <t xml:space="preserve">For Uradium, since 5 months of purchase contract have already ended, the purchases will continue till month 19 of the projecttion period and thereafter will stop.  </t>
  </si>
  <si>
    <t xml:space="preserve">The same calculations as for Puranium are performed for Uradiums also, with a few Uradium specific modifications.  </t>
  </si>
  <si>
    <t xml:space="preserve">Uradium: Column O to W </t>
  </si>
  <si>
    <t>Phase 2 differential of rates is greater so Phase 2 (demand creator phase) should dominate overall.</t>
  </si>
  <si>
    <t>In Phase 2, reproduction is greater so net demand should be seen.  This is also observed.</t>
  </si>
  <si>
    <t>In Phase 1, decaying is greater than reproduction, so there should be surplus creation.  This is seen.</t>
  </si>
  <si>
    <t xml:space="preserve">Reasonableness check: </t>
  </si>
  <si>
    <t>Check was found to be successful.</t>
  </si>
  <si>
    <t>This should equal: Summation (Demand_Excess) - Summation (Contribution_Surplus)</t>
  </si>
  <si>
    <t>Net Change in rod count = Radioactive rods_End (36) - Radioactive rods_Start (1)</t>
  </si>
  <si>
    <t>Further, the net change in rod count should reflect in surplus or excess demand.</t>
  </si>
  <si>
    <t>This should be equal to Radioactive rods_End (36).</t>
  </si>
  <si>
    <t>Expected End rod Count is then: Radioactive rod_Start (1) + Summation (New_Radioactiverod_Added) - Summation (Radioactive rod_Exiting)</t>
  </si>
  <si>
    <t>In Row 43, the totals are applied to fields: Radioactive rods added, Radioactive rods exiting, Contribution Surplus and Demand Excess</t>
  </si>
  <si>
    <t>Consistency Checks:</t>
  </si>
  <si>
    <t>This check has been found to be successful.</t>
  </si>
  <si>
    <t>auto check in column L : Since in a particular month, either a surplus or deficit can be recorded, one of these should be 0.  Hence, their product should always be 0.</t>
  </si>
  <si>
    <t xml:space="preserve">..else this is set to 0 </t>
  </si>
  <si>
    <t>…if lockers_Req_Start &lt; lockers_Req_End</t>
  </si>
  <si>
    <t>Demand_Excess (t) = lockers_Req_End (t) - lockers_Req_Start (t)</t>
  </si>
  <si>
    <t>This is set calculated as:</t>
  </si>
  <si>
    <t>Demand for Excess lockers</t>
  </si>
  <si>
    <t>…if lockers_Req_Start &gt; lockers_Req_End</t>
  </si>
  <si>
    <t>Contribution_Surplus (t) = lockers_Req_Start (t) - lockers_Req_End (t)</t>
  </si>
  <si>
    <t>Contribution to Surplus lockers</t>
  </si>
  <si>
    <t>lockers_Req_End (t) = Radioactive rod_End (t)</t>
  </si>
  <si>
    <t>lockers_Req_Start (t) = Radioactive rod_Start (t)</t>
  </si>
  <si>
    <t>This is set equal to Radioactive rod at the start/end of the month</t>
  </si>
  <si>
    <t>lockers required at start and end</t>
  </si>
  <si>
    <t>Radioactive rods_End (t) = Radioactive rod_Start (t) + New_Radioactive rod_Added (t) - Radioactive Rod_decaying (t)</t>
  </si>
  <si>
    <t>This is calculated as:</t>
  </si>
  <si>
    <t>Radioactive  Rod at end of month</t>
  </si>
  <si>
    <t xml:space="preserve">Radioactive rods_Exiting (t) = {Radioactive rods_Start (t) + New_Radioactive rods_Added (t)} * monthly decaying rate relevant to the Phase of the projection month.  </t>
  </si>
  <si>
    <t>rod decaying during the month</t>
  </si>
  <si>
    <t xml:space="preserve">New_Radioactive rod_Added (t)= {Rod_Start (t) * monthly reproduction rate applicable to the Phase of the projection month}.  Relevant figures have been referenced from the Parameters sheet.  </t>
  </si>
  <si>
    <t>New Radioactive rods  added during the month</t>
  </si>
  <si>
    <t>For t= 2 onwards, Radioactive rods_Start (t) = Radioactive rods_End (t-1)</t>
  </si>
  <si>
    <t>For t=1, this is set equal to the number of Radioactive rods as per the start data received by Edvert.  The relevant figures are referenced from the Parameters sheet.</t>
  </si>
  <si>
    <t>Count of rod  at Start</t>
  </si>
  <si>
    <t xml:space="preserve">…The phase split is done as per the data on decaying and reproduction for radioactive rods, since these rates vary by 2 phases of projection. </t>
  </si>
  <si>
    <t>If the Projection month is less than or equal to the maximum month for Phase 1 (read from Parameters Sheet), the formula yields 1 otherwise it yields 2.</t>
  </si>
  <si>
    <t>The calculations are then performed as follows:</t>
  </si>
  <si>
    <t xml:space="preserve">This worksheet projects (for the Base Scenario) the  radioactive materail   and lockers utilisation for each element separately and then at an aggregate bank level determines the count of lockers utilised, freed up or renovated each month.  Further, based on these aggregate projections, Edvert cost under each cost head is determined every month. </t>
  </si>
  <si>
    <t>Projections - Base</t>
  </si>
  <si>
    <t>. Cost of renovation, maintenance and penalty, per lockers</t>
  </si>
  <si>
    <t>. Multiplication and decay  rates per annum - monthly rate is also calculated next to this cell where Rate (monthly) = (1+annual rate)^(1/12) - 1</t>
  </si>
  <si>
    <t>. Existing radioactive rod counts and total lockers capacity of the bank</t>
  </si>
  <si>
    <t>Shows key parameters as follows:</t>
  </si>
  <si>
    <t>Parameters</t>
  </si>
  <si>
    <t>If the government penalty applies, Edwert does not need to provide for any extra cost for the surplus material(government assumes the responsibility)</t>
  </si>
  <si>
    <t>Inflation of costs has been ignored.</t>
  </si>
  <si>
    <t>…hence maintenance cost can be calculated using surplus lockers at end of period as the surplus emerges at the start of the month itself.</t>
  </si>
  <si>
    <t>Any renovation  of lockers required happens immediately at the start of the month itself so that maintenance cost is not incurred.</t>
  </si>
  <si>
    <t>The radio active material produce during any particular month are also subject to the decaying rate….decay take place after the production.</t>
  </si>
  <si>
    <t>All data provided is correct - in terms of reproduction, decay rate, purchase contract etc.</t>
  </si>
  <si>
    <t>The key assumptions used in the model are:</t>
  </si>
  <si>
    <t>Assumptions</t>
  </si>
  <si>
    <t>Further scenarios are tested to see how Edvert  outgo varies when Uradium, purchases are varied.</t>
  </si>
  <si>
    <t>The model Construct a monthly projection of the locker utilisation over a three year period for each radioactive material.</t>
  </si>
  <si>
    <t>The purpose of the model is to determine the outgo for Edvert depending upon the locker projections showing a surplus or a shortage</t>
  </si>
  <si>
    <t>Overview</t>
  </si>
  <si>
    <t>Project - Radioactive: Audit Trail</t>
  </si>
  <si>
    <t xml:space="preserve">Puranium </t>
  </si>
  <si>
    <t xml:space="preserve">Uradium </t>
  </si>
  <si>
    <t>Rates are per annum</t>
  </si>
  <si>
    <t>Multiplication rate</t>
  </si>
  <si>
    <t>Decay rate</t>
  </si>
  <si>
    <t>This is seen as net rod count increased over the 36 months.</t>
  </si>
  <si>
    <t>. Monthly Uradium  addition in the Base Scenario</t>
  </si>
  <si>
    <t>. The Rate Table is given with the question paper and Since the rates are constant upto 18 months and change afterwards for Puranium and constant throughout for Uradium  hence they have been assumed as phase 1 and phase 2 for simplicity and vlookup is done from the rate table given</t>
  </si>
  <si>
    <t>There is no minimum rods required for material to start multiplying…</t>
  </si>
  <si>
    <t xml:space="preserve">This worksheet contains all the parameters used in the model which are shown in blue text colour except where the calculation is done in the sheet ( in Black) </t>
  </si>
  <si>
    <t xml:space="preserve">Puranium: Column C to K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</si>
</sst>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0"/>
    <numFmt numFmtId="166" formatCode="0.0%"/>
    <numFmt numFmtId="167" formatCode="_(* #,##0_);_(* \(#,##0\);_(* &quot;-&quot;??_);_(@_)"/>
    <numFmt numFmtId="168" formatCode="_(* #,##0.0_);_(* \(#,##0.0\);_(* &quot;-&quot;??_);_(@_)"/>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1"/>
      <color theme="3" tint="0.39997558519241921"/>
      <name val="Calibri"/>
      <family val="2"/>
      <scheme val="minor"/>
    </font>
    <font>
      <sz val="11"/>
      <color rgb="FF002060"/>
      <name val="Calibri"/>
      <family val="2"/>
      <scheme val="minor"/>
    </font>
    <font>
      <i/>
      <sz val="11"/>
      <color theme="1"/>
      <name val="Calibri"/>
      <family val="2"/>
      <scheme val="minor"/>
    </font>
    <font>
      <i/>
      <sz val="11"/>
      <color rgb="FFFF0000"/>
      <name val="Calibri"/>
      <family val="2"/>
      <scheme val="minor"/>
    </font>
    <font>
      <i/>
      <sz val="11"/>
      <name val="Calibri"/>
      <family val="2"/>
      <scheme val="minor"/>
    </font>
    <font>
      <sz val="11"/>
      <name val="Calibri"/>
      <family val="2"/>
      <scheme val="minor"/>
    </font>
    <font>
      <sz val="11"/>
      <color rgb="FF00B050"/>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u/>
      <sz val="11"/>
      <color theme="1"/>
      <name val="Calibri"/>
      <family val="2"/>
      <scheme val="minor"/>
    </font>
    <font>
      <b/>
      <sz val="18"/>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90">
    <xf numFmtId="0" fontId="0" fillId="0" borderId="0" xfId="0"/>
    <xf numFmtId="0" fontId="5" fillId="0" borderId="0" xfId="0" applyFont="1"/>
    <xf numFmtId="0" fontId="6" fillId="0" borderId="0" xfId="0" applyFont="1" applyAlignment="1">
      <alignment wrapText="1"/>
    </xf>
    <xf numFmtId="0" fontId="0" fillId="0" borderId="1" xfId="0" applyBorder="1"/>
    <xf numFmtId="165" fontId="0" fillId="0" borderId="1" xfId="0" applyNumberFormat="1" applyBorder="1"/>
    <xf numFmtId="0" fontId="6" fillId="0" borderId="1" xfId="0" applyFont="1" applyBorder="1" applyAlignment="1">
      <alignment horizontal="center" vertical="center" wrapText="1"/>
    </xf>
    <xf numFmtId="0" fontId="0" fillId="2" borderId="1" xfId="0" applyFill="1" applyBorder="1"/>
    <xf numFmtId="9" fontId="5" fillId="0" borderId="0" xfId="0" applyNumberFormat="1" applyFont="1"/>
    <xf numFmtId="0" fontId="7" fillId="0" borderId="0" xfId="0" applyFont="1"/>
    <xf numFmtId="166" fontId="1" fillId="0" borderId="0" xfId="3" applyNumberFormat="1" applyFont="1"/>
    <xf numFmtId="0" fontId="0" fillId="0" borderId="1" xfId="0" applyFill="1" applyBorder="1"/>
    <xf numFmtId="0" fontId="8" fillId="0" borderId="0" xfId="0" applyFont="1" applyAlignment="1">
      <alignment wrapText="1"/>
    </xf>
    <xf numFmtId="0" fontId="8" fillId="0" borderId="0" xfId="0" applyFont="1"/>
    <xf numFmtId="0" fontId="4" fillId="0" borderId="0" xfId="0" applyFont="1"/>
    <xf numFmtId="0" fontId="3" fillId="0" borderId="0" xfId="0" applyFont="1"/>
    <xf numFmtId="165" fontId="3" fillId="0" borderId="0" xfId="0" applyNumberFormat="1" applyFont="1"/>
    <xf numFmtId="164" fontId="4" fillId="0" borderId="0" xfId="1" applyNumberFormat="1" applyFont="1"/>
    <xf numFmtId="164" fontId="4" fillId="0" borderId="0" xfId="0" applyNumberFormat="1" applyFont="1"/>
    <xf numFmtId="165" fontId="4" fillId="0" borderId="0" xfId="0" applyNumberFormat="1" applyFont="1"/>
    <xf numFmtId="164" fontId="1" fillId="0" borderId="1" xfId="1" applyFont="1" applyBorder="1"/>
    <xf numFmtId="0" fontId="6" fillId="0" borderId="1" xfId="0" applyFont="1" applyBorder="1" applyAlignment="1">
      <alignment vertical="center" wrapText="1"/>
    </xf>
    <xf numFmtId="164" fontId="1" fillId="0" borderId="0" xfId="1" applyFont="1"/>
    <xf numFmtId="167" fontId="1" fillId="0" borderId="0" xfId="1" applyNumberFormat="1" applyFont="1"/>
    <xf numFmtId="167" fontId="0" fillId="0" borderId="0" xfId="0" applyNumberFormat="1"/>
    <xf numFmtId="9" fontId="1" fillId="0" borderId="0" xfId="3" applyFont="1"/>
    <xf numFmtId="164" fontId="5" fillId="0" borderId="0" xfId="1" applyFont="1"/>
    <xf numFmtId="167" fontId="1" fillId="0" borderId="1" xfId="1" applyNumberFormat="1" applyFont="1" applyBorder="1"/>
    <xf numFmtId="167" fontId="1" fillId="0" borderId="1" xfId="1" applyNumberFormat="1" applyFont="1" applyFill="1" applyBorder="1"/>
    <xf numFmtId="164" fontId="8" fillId="0" borderId="0" xfId="1" applyFont="1"/>
    <xf numFmtId="167" fontId="0" fillId="0" borderId="1" xfId="0" applyNumberFormat="1" applyBorder="1"/>
    <xf numFmtId="167" fontId="3" fillId="0" borderId="1" xfId="1" applyNumberFormat="1" applyFont="1" applyBorder="1"/>
    <xf numFmtId="9" fontId="8" fillId="0" borderId="0" xfId="3" applyFont="1"/>
    <xf numFmtId="2" fontId="5" fillId="0" borderId="0" xfId="0" applyNumberFormat="1" applyFont="1"/>
    <xf numFmtId="0" fontId="0" fillId="3" borderId="0" xfId="0" applyFill="1"/>
    <xf numFmtId="167" fontId="0" fillId="3" borderId="0" xfId="0" applyNumberFormat="1" applyFill="1"/>
    <xf numFmtId="164" fontId="1" fillId="3" borderId="0" xfId="1" applyFont="1" applyFill="1"/>
    <xf numFmtId="168" fontId="0" fillId="3" borderId="0" xfId="0" applyNumberFormat="1" applyFill="1"/>
    <xf numFmtId="168" fontId="1" fillId="0" borderId="0" xfId="1" applyNumberFormat="1" applyFont="1"/>
    <xf numFmtId="168" fontId="0" fillId="0" borderId="0" xfId="0" applyNumberFormat="1"/>
    <xf numFmtId="167" fontId="1" fillId="2" borderId="1" xfId="1" applyNumberFormat="1" applyFont="1" applyFill="1" applyBorder="1"/>
    <xf numFmtId="0" fontId="0" fillId="0" borderId="2" xfId="0" applyBorder="1"/>
    <xf numFmtId="167" fontId="1" fillId="0" borderId="3" xfId="1" applyNumberFormat="1" applyFont="1" applyBorder="1"/>
    <xf numFmtId="0" fontId="0" fillId="0" borderId="4" xfId="0" applyBorder="1"/>
    <xf numFmtId="167" fontId="1" fillId="0" borderId="0" xfId="1" applyNumberFormat="1" applyFont="1" applyBorder="1"/>
    <xf numFmtId="167" fontId="0" fillId="0" borderId="5" xfId="0" applyNumberFormat="1" applyBorder="1"/>
    <xf numFmtId="0" fontId="0" fillId="0" borderId="5" xfId="0" applyBorder="1"/>
    <xf numFmtId="0" fontId="0" fillId="0" borderId="0" xfId="0" applyBorder="1"/>
    <xf numFmtId="167" fontId="1" fillId="0" borderId="5" xfId="1" applyNumberFormat="1" applyFont="1" applyBorder="1"/>
    <xf numFmtId="0" fontId="0" fillId="0" borderId="6" xfId="0" applyBorder="1"/>
    <xf numFmtId="0" fontId="0" fillId="0" borderId="7" xfId="0" applyBorder="1"/>
    <xf numFmtId="167" fontId="0" fillId="0" borderId="8" xfId="0" applyNumberFormat="1" applyBorder="1"/>
    <xf numFmtId="167" fontId="1" fillId="0" borderId="9" xfId="1" applyNumberFormat="1" applyFont="1" applyBorder="1"/>
    <xf numFmtId="9" fontId="0" fillId="0" borderId="0" xfId="0" applyNumberFormat="1"/>
    <xf numFmtId="1" fontId="0" fillId="3" borderId="0" xfId="0" applyNumberFormat="1" applyFill="1"/>
    <xf numFmtId="0" fontId="2" fillId="0" borderId="1" xfId="2" applyBorder="1" applyAlignment="1">
      <alignment horizontal="center" vertical="center" wrapText="1"/>
    </xf>
    <xf numFmtId="167" fontId="0" fillId="0" borderId="1" xfId="1" applyNumberFormat="1" applyFont="1" applyBorder="1"/>
    <xf numFmtId="0" fontId="0" fillId="0" borderId="0" xfId="0" applyAlignment="1"/>
    <xf numFmtId="0" fontId="0" fillId="0" borderId="0" xfId="0" applyAlignment="1">
      <alignment wrapText="1"/>
    </xf>
    <xf numFmtId="0" fontId="3" fillId="0" borderId="0" xfId="0" applyFont="1" applyAlignment="1"/>
    <xf numFmtId="0" fontId="3"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7" fillId="0" borderId="0" xfId="0" applyFont="1" applyAlignment="1">
      <alignment wrapText="1"/>
    </xf>
    <xf numFmtId="0" fontId="8" fillId="0" borderId="0" xfId="0" applyFont="1" applyAlignment="1"/>
    <xf numFmtId="0" fontId="12" fillId="0" borderId="0" xfId="0" applyFont="1" applyAlignment="1">
      <alignment wrapText="1"/>
    </xf>
    <xf numFmtId="0" fontId="13" fillId="0" borderId="0" xfId="0" applyFont="1" applyAlignment="1">
      <alignment wrapText="1"/>
    </xf>
    <xf numFmtId="0" fontId="4"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9" fillId="0" borderId="0" xfId="0" applyFont="1"/>
    <xf numFmtId="0" fontId="16" fillId="0" borderId="0" xfId="0" applyFont="1" applyAlignment="1">
      <alignment wrapText="1"/>
    </xf>
    <xf numFmtId="0" fontId="17" fillId="0" borderId="0" xfId="0" applyFont="1"/>
    <xf numFmtId="9" fontId="10" fillId="0" borderId="0" xfId="3" applyFont="1"/>
    <xf numFmtId="0" fontId="3" fillId="2" borderId="0" xfId="0" applyFont="1" applyFill="1" applyAlignment="1"/>
    <xf numFmtId="0" fontId="10" fillId="2" borderId="0" xfId="0" applyFont="1" applyFill="1" applyAlignment="1">
      <alignment wrapText="1"/>
    </xf>
    <xf numFmtId="0" fontId="6" fillId="3" borderId="1" xfId="0" applyFont="1" applyFill="1" applyBorder="1" applyAlignment="1">
      <alignment horizontal="center" vertical="center" wrapText="1"/>
    </xf>
    <xf numFmtId="0" fontId="0" fillId="0" borderId="0" xfId="0" applyFill="1" applyAlignment="1"/>
    <xf numFmtId="0" fontId="4" fillId="0" borderId="0" xfId="0" applyFont="1" applyFill="1" applyAlignment="1">
      <alignment wrapText="1"/>
    </xf>
    <xf numFmtId="0" fontId="18" fillId="0" borderId="0" xfId="0" applyFont="1" applyAlignment="1">
      <alignment wrapText="1"/>
    </xf>
    <xf numFmtId="0" fontId="3" fillId="0" borderId="10" xfId="0" applyFont="1" applyBorder="1" applyAlignment="1">
      <alignment horizontal="center"/>
    </xf>
    <xf numFmtId="0" fontId="0" fillId="0" borderId="1" xfId="0" applyBorder="1" applyAlignment="1">
      <alignment horizontal="center" vertical="center"/>
    </xf>
    <xf numFmtId="0" fontId="3" fillId="4" borderId="1" xfId="0" applyFont="1" applyFill="1" applyBorder="1" applyAlignment="1">
      <alignment horizontal="center"/>
    </xf>
    <xf numFmtId="0" fontId="3" fillId="3" borderId="0" xfId="0" applyFont="1" applyFill="1" applyAlignment="1">
      <alignment horizontal="center"/>
    </xf>
    <xf numFmtId="0" fontId="0" fillId="5" borderId="1" xfId="0" applyFill="1" applyBorder="1" applyAlignment="1">
      <alignment horizontal="center"/>
    </xf>
    <xf numFmtId="9" fontId="5" fillId="5" borderId="1" xfId="0" applyNumberFormat="1" applyFont="1" applyFill="1" applyBorder="1" applyAlignment="1">
      <alignment horizontal="center"/>
    </xf>
    <xf numFmtId="0" fontId="0" fillId="0" borderId="1" xfId="0" applyBorder="1" applyAlignment="1">
      <alignment horizontal="center"/>
    </xf>
    <xf numFmtId="9" fontId="5" fillId="0" borderId="1" xfId="0" applyNumberFormat="1" applyFont="1" applyBorder="1" applyAlignment="1">
      <alignment horizontal="center"/>
    </xf>
    <xf numFmtId="9" fontId="5" fillId="5" borderId="1" xfId="3" applyFont="1" applyFill="1" applyBorder="1" applyAlignment="1">
      <alignment horizontal="center"/>
    </xf>
    <xf numFmtId="9" fontId="5" fillId="0" borderId="1" xfId="3"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N" sz="1200"/>
            </a:pPr>
            <a:r>
              <a:rPr lang="en-US" sz="1200"/>
              <a:t>Projection of rods - Base Scenario</a:t>
            </a:r>
          </a:p>
        </c:rich>
      </c:tx>
      <c:layout/>
      <c:overlay val="1"/>
    </c:title>
    <c:autoTitleDeleted val="0"/>
    <c:plotArea>
      <c:layout>
        <c:manualLayout>
          <c:layoutTarget val="inner"/>
          <c:xMode val="edge"/>
          <c:yMode val="edge"/>
          <c:x val="0.13214136694451648"/>
          <c:y val="8.5395220334300345E-2"/>
          <c:w val="0.83730314960629926"/>
          <c:h val="0.7279734769995867"/>
        </c:manualLayout>
      </c:layout>
      <c:lineChart>
        <c:grouping val="standard"/>
        <c:varyColors val="0"/>
        <c:ser>
          <c:idx val="0"/>
          <c:order val="0"/>
          <c:tx>
            <c:strRef>
              <c:f>Charts!$B$3</c:f>
              <c:strCache>
                <c:ptCount val="1"/>
                <c:pt idx="0">
                  <c:v>Puranium</c:v>
                </c:pt>
              </c:strCache>
            </c:strRef>
          </c:tx>
          <c:marker>
            <c:symbol val="none"/>
          </c:marker>
          <c:val>
            <c:numRef>
              <c:f>Charts!$B$4:$B$39</c:f>
              <c:numCache>
                <c:formatCode>_(* #,##0_);_(* \(#,##0\);_(* "-"??_);_(@_)</c:formatCode>
                <c:ptCount val="36"/>
                <c:pt idx="0">
                  <c:v>1994</c:v>
                </c:pt>
                <c:pt idx="1">
                  <c:v>1988</c:v>
                </c:pt>
                <c:pt idx="2">
                  <c:v>1982</c:v>
                </c:pt>
                <c:pt idx="3">
                  <c:v>1976</c:v>
                </c:pt>
                <c:pt idx="4">
                  <c:v>1970</c:v>
                </c:pt>
                <c:pt idx="5">
                  <c:v>1964</c:v>
                </c:pt>
                <c:pt idx="6">
                  <c:v>1958</c:v>
                </c:pt>
                <c:pt idx="7">
                  <c:v>1952</c:v>
                </c:pt>
                <c:pt idx="8">
                  <c:v>1946</c:v>
                </c:pt>
                <c:pt idx="9">
                  <c:v>1940</c:v>
                </c:pt>
                <c:pt idx="10">
                  <c:v>1933</c:v>
                </c:pt>
                <c:pt idx="11">
                  <c:v>1927</c:v>
                </c:pt>
                <c:pt idx="12">
                  <c:v>1921</c:v>
                </c:pt>
                <c:pt idx="13">
                  <c:v>1915</c:v>
                </c:pt>
                <c:pt idx="14">
                  <c:v>1909</c:v>
                </c:pt>
                <c:pt idx="15">
                  <c:v>1903</c:v>
                </c:pt>
                <c:pt idx="16">
                  <c:v>1897</c:v>
                </c:pt>
                <c:pt idx="17">
                  <c:v>1891</c:v>
                </c:pt>
                <c:pt idx="18">
                  <c:v>1911</c:v>
                </c:pt>
                <c:pt idx="19">
                  <c:v>1932</c:v>
                </c:pt>
                <c:pt idx="20">
                  <c:v>1953</c:v>
                </c:pt>
                <c:pt idx="21">
                  <c:v>1974</c:v>
                </c:pt>
                <c:pt idx="22">
                  <c:v>1994</c:v>
                </c:pt>
                <c:pt idx="23">
                  <c:v>2015</c:v>
                </c:pt>
                <c:pt idx="24">
                  <c:v>2036</c:v>
                </c:pt>
                <c:pt idx="25">
                  <c:v>2057</c:v>
                </c:pt>
                <c:pt idx="26">
                  <c:v>2079</c:v>
                </c:pt>
                <c:pt idx="27">
                  <c:v>2101</c:v>
                </c:pt>
                <c:pt idx="28">
                  <c:v>2123</c:v>
                </c:pt>
                <c:pt idx="29">
                  <c:v>2145</c:v>
                </c:pt>
                <c:pt idx="30">
                  <c:v>2168</c:v>
                </c:pt>
                <c:pt idx="31">
                  <c:v>2191</c:v>
                </c:pt>
                <c:pt idx="32">
                  <c:v>2214</c:v>
                </c:pt>
                <c:pt idx="33">
                  <c:v>2238</c:v>
                </c:pt>
                <c:pt idx="34">
                  <c:v>2262</c:v>
                </c:pt>
                <c:pt idx="35">
                  <c:v>2285</c:v>
                </c:pt>
              </c:numCache>
            </c:numRef>
          </c:val>
          <c:smooth val="0"/>
          <c:extLst xmlns:c16r2="http://schemas.microsoft.com/office/drawing/2015/06/chart">
            <c:ext xmlns:c16="http://schemas.microsoft.com/office/drawing/2014/chart" uri="{C3380CC4-5D6E-409C-BE32-E72D297353CC}">
              <c16:uniqueId val="{00000000-5C82-466A-8C52-72375FBB1FA6}"/>
            </c:ext>
          </c:extLst>
        </c:ser>
        <c:ser>
          <c:idx val="1"/>
          <c:order val="1"/>
          <c:tx>
            <c:strRef>
              <c:f>Charts!$C$3</c:f>
              <c:strCache>
                <c:ptCount val="1"/>
                <c:pt idx="0">
                  <c:v>Uradium</c:v>
                </c:pt>
              </c:strCache>
            </c:strRef>
          </c:tx>
          <c:marker>
            <c:symbol val="none"/>
          </c:marker>
          <c:val>
            <c:numRef>
              <c:f>Charts!$C$4:$C$39</c:f>
              <c:numCache>
                <c:formatCode>_(* #,##0_);_(* \(#,##0\);_(* "-"??_);_(@_)</c:formatCode>
                <c:ptCount val="36"/>
                <c:pt idx="0">
                  <c:v>210</c:v>
                </c:pt>
                <c:pt idx="1">
                  <c:v>220</c:v>
                </c:pt>
                <c:pt idx="2">
                  <c:v>230</c:v>
                </c:pt>
                <c:pt idx="3">
                  <c:v>240</c:v>
                </c:pt>
                <c:pt idx="4">
                  <c:v>250</c:v>
                </c:pt>
                <c:pt idx="5">
                  <c:v>260</c:v>
                </c:pt>
                <c:pt idx="6">
                  <c:v>270</c:v>
                </c:pt>
                <c:pt idx="7">
                  <c:v>280</c:v>
                </c:pt>
                <c:pt idx="8">
                  <c:v>290</c:v>
                </c:pt>
                <c:pt idx="9">
                  <c:v>300</c:v>
                </c:pt>
                <c:pt idx="10">
                  <c:v>310</c:v>
                </c:pt>
                <c:pt idx="11">
                  <c:v>320</c:v>
                </c:pt>
                <c:pt idx="12">
                  <c:v>330</c:v>
                </c:pt>
                <c:pt idx="13">
                  <c:v>340</c:v>
                </c:pt>
                <c:pt idx="14">
                  <c:v>350</c:v>
                </c:pt>
                <c:pt idx="15">
                  <c:v>360</c:v>
                </c:pt>
                <c:pt idx="16">
                  <c:v>369</c:v>
                </c:pt>
                <c:pt idx="17">
                  <c:v>378</c:v>
                </c:pt>
                <c:pt idx="18">
                  <c:v>387</c:v>
                </c:pt>
                <c:pt idx="19">
                  <c:v>385</c:v>
                </c:pt>
                <c:pt idx="20">
                  <c:v>383</c:v>
                </c:pt>
                <c:pt idx="21">
                  <c:v>381</c:v>
                </c:pt>
                <c:pt idx="22">
                  <c:v>379</c:v>
                </c:pt>
                <c:pt idx="23">
                  <c:v>377</c:v>
                </c:pt>
                <c:pt idx="24">
                  <c:v>375</c:v>
                </c:pt>
                <c:pt idx="25">
                  <c:v>373</c:v>
                </c:pt>
                <c:pt idx="26">
                  <c:v>371</c:v>
                </c:pt>
                <c:pt idx="27">
                  <c:v>369</c:v>
                </c:pt>
                <c:pt idx="28">
                  <c:v>367</c:v>
                </c:pt>
                <c:pt idx="29">
                  <c:v>366</c:v>
                </c:pt>
                <c:pt idx="30">
                  <c:v>365</c:v>
                </c:pt>
                <c:pt idx="31">
                  <c:v>364</c:v>
                </c:pt>
                <c:pt idx="32">
                  <c:v>363</c:v>
                </c:pt>
                <c:pt idx="33">
                  <c:v>362</c:v>
                </c:pt>
                <c:pt idx="34">
                  <c:v>361</c:v>
                </c:pt>
                <c:pt idx="35">
                  <c:v>360</c:v>
                </c:pt>
              </c:numCache>
            </c:numRef>
          </c:val>
          <c:smooth val="0"/>
          <c:extLst xmlns:c16r2="http://schemas.microsoft.com/office/drawing/2015/06/chart">
            <c:ext xmlns:c16="http://schemas.microsoft.com/office/drawing/2014/chart" uri="{C3380CC4-5D6E-409C-BE32-E72D297353CC}">
              <c16:uniqueId val="{00000001-5C82-466A-8C52-72375FBB1FA6}"/>
            </c:ext>
          </c:extLst>
        </c:ser>
        <c:ser>
          <c:idx val="2"/>
          <c:order val="2"/>
          <c:tx>
            <c:strRef>
              <c:f>Charts!$D$3</c:f>
              <c:strCache>
                <c:ptCount val="1"/>
                <c:pt idx="0">
                  <c:v>Total</c:v>
                </c:pt>
              </c:strCache>
            </c:strRef>
          </c:tx>
          <c:marker>
            <c:symbol val="none"/>
          </c:marker>
          <c:val>
            <c:numRef>
              <c:f>Charts!$D$4:$D$39</c:f>
              <c:numCache>
                <c:formatCode>_(* #,##0_);_(* \(#,##0\);_(* "-"??_);_(@_)</c:formatCode>
                <c:ptCount val="36"/>
                <c:pt idx="0">
                  <c:v>2204</c:v>
                </c:pt>
                <c:pt idx="1">
                  <c:v>2208</c:v>
                </c:pt>
                <c:pt idx="2">
                  <c:v>2212</c:v>
                </c:pt>
                <c:pt idx="3">
                  <c:v>2216</c:v>
                </c:pt>
                <c:pt idx="4">
                  <c:v>2220</c:v>
                </c:pt>
                <c:pt idx="5">
                  <c:v>2224</c:v>
                </c:pt>
                <c:pt idx="6">
                  <c:v>2228</c:v>
                </c:pt>
                <c:pt idx="7">
                  <c:v>2232</c:v>
                </c:pt>
                <c:pt idx="8">
                  <c:v>2236</c:v>
                </c:pt>
                <c:pt idx="9">
                  <c:v>2240</c:v>
                </c:pt>
                <c:pt idx="10">
                  <c:v>2243</c:v>
                </c:pt>
                <c:pt idx="11">
                  <c:v>2247</c:v>
                </c:pt>
                <c:pt idx="12">
                  <c:v>2251</c:v>
                </c:pt>
                <c:pt idx="13">
                  <c:v>2255</c:v>
                </c:pt>
                <c:pt idx="14">
                  <c:v>2259</c:v>
                </c:pt>
                <c:pt idx="15">
                  <c:v>2263</c:v>
                </c:pt>
                <c:pt idx="16">
                  <c:v>2266</c:v>
                </c:pt>
                <c:pt idx="17">
                  <c:v>2269</c:v>
                </c:pt>
                <c:pt idx="18">
                  <c:v>2298</c:v>
                </c:pt>
                <c:pt idx="19">
                  <c:v>2317</c:v>
                </c:pt>
                <c:pt idx="20">
                  <c:v>2336</c:v>
                </c:pt>
                <c:pt idx="21">
                  <c:v>2355</c:v>
                </c:pt>
                <c:pt idx="22">
                  <c:v>2373</c:v>
                </c:pt>
                <c:pt idx="23">
                  <c:v>2392</c:v>
                </c:pt>
                <c:pt idx="24">
                  <c:v>2411</c:v>
                </c:pt>
                <c:pt idx="25">
                  <c:v>2430</c:v>
                </c:pt>
                <c:pt idx="26">
                  <c:v>2450</c:v>
                </c:pt>
                <c:pt idx="27">
                  <c:v>2470</c:v>
                </c:pt>
                <c:pt idx="28">
                  <c:v>2490</c:v>
                </c:pt>
                <c:pt idx="29">
                  <c:v>2511</c:v>
                </c:pt>
                <c:pt idx="30">
                  <c:v>2533</c:v>
                </c:pt>
                <c:pt idx="31">
                  <c:v>2555</c:v>
                </c:pt>
                <c:pt idx="32">
                  <c:v>2577</c:v>
                </c:pt>
                <c:pt idx="33">
                  <c:v>2600</c:v>
                </c:pt>
                <c:pt idx="34">
                  <c:v>2623</c:v>
                </c:pt>
                <c:pt idx="35">
                  <c:v>2645</c:v>
                </c:pt>
              </c:numCache>
            </c:numRef>
          </c:val>
          <c:smooth val="0"/>
          <c:extLst xmlns:c16r2="http://schemas.microsoft.com/office/drawing/2015/06/chart">
            <c:ext xmlns:c16="http://schemas.microsoft.com/office/drawing/2014/chart" uri="{C3380CC4-5D6E-409C-BE32-E72D297353CC}">
              <c16:uniqueId val="{00000002-5C82-466A-8C52-72375FBB1FA6}"/>
            </c:ext>
          </c:extLst>
        </c:ser>
        <c:dLbls>
          <c:showLegendKey val="0"/>
          <c:showVal val="0"/>
          <c:showCatName val="0"/>
          <c:showSerName val="0"/>
          <c:showPercent val="0"/>
          <c:showBubbleSize val="0"/>
        </c:dLbls>
        <c:smooth val="0"/>
        <c:axId val="57941728"/>
        <c:axId val="57942288"/>
      </c:lineChart>
      <c:catAx>
        <c:axId val="57941728"/>
        <c:scaling>
          <c:orientation val="minMax"/>
        </c:scaling>
        <c:delete val="0"/>
        <c:axPos val="b"/>
        <c:title>
          <c:tx>
            <c:rich>
              <a:bodyPr/>
              <a:lstStyle/>
              <a:p>
                <a:pPr>
                  <a:defRPr lang="en-IN"/>
                </a:pPr>
                <a:r>
                  <a:rPr lang="en-US"/>
                  <a:t>Projection month (end)</a:t>
                </a:r>
              </a:p>
            </c:rich>
          </c:tx>
          <c:layout>
            <c:manualLayout>
              <c:xMode val="edge"/>
              <c:yMode val="edge"/>
              <c:x val="0.4200984492323076"/>
              <c:y val="0.87815038909609988"/>
            </c:manualLayout>
          </c:layout>
          <c:overlay val="0"/>
        </c:title>
        <c:numFmt formatCode="General" sourceLinked="1"/>
        <c:majorTickMark val="out"/>
        <c:minorTickMark val="none"/>
        <c:tickLblPos val="nextTo"/>
        <c:txPr>
          <a:bodyPr/>
          <a:lstStyle/>
          <a:p>
            <a:pPr>
              <a:defRPr lang="en-IN"/>
            </a:pPr>
            <a:endParaRPr lang="en-US"/>
          </a:p>
        </c:txPr>
        <c:crossAx val="57942288"/>
        <c:crosses val="autoZero"/>
        <c:auto val="1"/>
        <c:lblAlgn val="ctr"/>
        <c:lblOffset val="100"/>
        <c:tickLblSkip val="3"/>
        <c:noMultiLvlLbl val="0"/>
      </c:catAx>
      <c:valAx>
        <c:axId val="57942288"/>
        <c:scaling>
          <c:orientation val="minMax"/>
        </c:scaling>
        <c:delete val="0"/>
        <c:axPos val="l"/>
        <c:title>
          <c:tx>
            <c:rich>
              <a:bodyPr rot="-5400000" vert="horz"/>
              <a:lstStyle/>
              <a:p>
                <a:pPr>
                  <a:defRPr lang="en-IN"/>
                </a:pPr>
                <a:r>
                  <a:rPr lang="en-US"/>
                  <a:t>Count of rods</a:t>
                </a:r>
              </a:p>
            </c:rich>
          </c:tx>
          <c:layout/>
          <c:overlay val="0"/>
        </c:title>
        <c:numFmt formatCode="_(* #,##0_);_(* \(#,##0\);_(* &quot;-&quot;??_);_(@_)" sourceLinked="1"/>
        <c:majorTickMark val="out"/>
        <c:minorTickMark val="none"/>
        <c:tickLblPos val="nextTo"/>
        <c:txPr>
          <a:bodyPr/>
          <a:lstStyle/>
          <a:p>
            <a:pPr>
              <a:defRPr lang="en-IN"/>
            </a:pPr>
            <a:endParaRPr lang="en-US"/>
          </a:p>
        </c:txPr>
        <c:crossAx val="57941728"/>
        <c:crosses val="autoZero"/>
        <c:crossBetween val="between"/>
      </c:valAx>
    </c:plotArea>
    <c:legend>
      <c:legendPos val="r"/>
      <c:layout>
        <c:manualLayout>
          <c:xMode val="edge"/>
          <c:yMode val="edge"/>
          <c:x val="0.78426119811946571"/>
          <c:y val="0.28904250126628916"/>
          <c:w val="0.20108678722851939"/>
          <c:h val="0.25379527559055115"/>
        </c:manualLayout>
      </c:layout>
      <c:overlay val="0"/>
      <c:txPr>
        <a:bodyPr/>
        <a:lstStyle/>
        <a:p>
          <a:pPr>
            <a:defRPr lang="en-IN"/>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N" sz="1200"/>
            </a:pPr>
            <a:r>
              <a:rPr lang="en-US" sz="1200"/>
              <a:t>Projection of surplus lockers (at bank level) - Base Scenario</a:t>
            </a:r>
          </a:p>
        </c:rich>
      </c:tx>
      <c:layout/>
      <c:overlay val="1"/>
    </c:title>
    <c:autoTitleDeleted val="0"/>
    <c:plotArea>
      <c:layout>
        <c:manualLayout>
          <c:layoutTarget val="inner"/>
          <c:xMode val="edge"/>
          <c:yMode val="edge"/>
          <c:x val="0.12067720873733759"/>
          <c:y val="0.13107812587256379"/>
          <c:w val="0.84901976095963216"/>
          <c:h val="0.79411090634947279"/>
        </c:manualLayout>
      </c:layout>
      <c:barChart>
        <c:barDir val="col"/>
        <c:grouping val="clustered"/>
        <c:varyColors val="0"/>
        <c:ser>
          <c:idx val="0"/>
          <c:order val="0"/>
          <c:tx>
            <c:strRef>
              <c:f>Charts!$F$3</c:f>
              <c:strCache>
                <c:ptCount val="1"/>
                <c:pt idx="0">
                  <c:v>Surplus at end</c:v>
                </c:pt>
              </c:strCache>
            </c:strRef>
          </c:tx>
          <c:invertIfNegative val="0"/>
          <c:val>
            <c:numRef>
              <c:f>Charts!$F$4:$F$39</c:f>
              <c:numCache>
                <c:formatCode>_(* #,##0_);_(* \(#,##0\);_(* "-"??_);_(@_)</c:formatCode>
                <c:ptCount val="36"/>
                <c:pt idx="0">
                  <c:v>296</c:v>
                </c:pt>
                <c:pt idx="1">
                  <c:v>292</c:v>
                </c:pt>
                <c:pt idx="2">
                  <c:v>288</c:v>
                </c:pt>
                <c:pt idx="3">
                  <c:v>284</c:v>
                </c:pt>
                <c:pt idx="4">
                  <c:v>280</c:v>
                </c:pt>
                <c:pt idx="5">
                  <c:v>276</c:v>
                </c:pt>
                <c:pt idx="6">
                  <c:v>272</c:v>
                </c:pt>
                <c:pt idx="7">
                  <c:v>268</c:v>
                </c:pt>
                <c:pt idx="8">
                  <c:v>264</c:v>
                </c:pt>
                <c:pt idx="9">
                  <c:v>260</c:v>
                </c:pt>
                <c:pt idx="10">
                  <c:v>257</c:v>
                </c:pt>
                <c:pt idx="11">
                  <c:v>253</c:v>
                </c:pt>
                <c:pt idx="12">
                  <c:v>249</c:v>
                </c:pt>
                <c:pt idx="13">
                  <c:v>245</c:v>
                </c:pt>
                <c:pt idx="14">
                  <c:v>241</c:v>
                </c:pt>
                <c:pt idx="15">
                  <c:v>237</c:v>
                </c:pt>
                <c:pt idx="16">
                  <c:v>234</c:v>
                </c:pt>
                <c:pt idx="17">
                  <c:v>231</c:v>
                </c:pt>
                <c:pt idx="18">
                  <c:v>202</c:v>
                </c:pt>
                <c:pt idx="19">
                  <c:v>183</c:v>
                </c:pt>
                <c:pt idx="20">
                  <c:v>164</c:v>
                </c:pt>
                <c:pt idx="21">
                  <c:v>145</c:v>
                </c:pt>
                <c:pt idx="22">
                  <c:v>127</c:v>
                </c:pt>
                <c:pt idx="23">
                  <c:v>108</c:v>
                </c:pt>
                <c:pt idx="24">
                  <c:v>89</c:v>
                </c:pt>
                <c:pt idx="25">
                  <c:v>70</c:v>
                </c:pt>
                <c:pt idx="26">
                  <c:v>50</c:v>
                </c:pt>
                <c:pt idx="27">
                  <c:v>30</c:v>
                </c:pt>
                <c:pt idx="28">
                  <c:v>10</c:v>
                </c:pt>
                <c:pt idx="29">
                  <c:v>-11</c:v>
                </c:pt>
                <c:pt idx="30">
                  <c:v>-33</c:v>
                </c:pt>
                <c:pt idx="31">
                  <c:v>-55</c:v>
                </c:pt>
                <c:pt idx="32">
                  <c:v>-77</c:v>
                </c:pt>
                <c:pt idx="33">
                  <c:v>-100</c:v>
                </c:pt>
                <c:pt idx="34">
                  <c:v>-123</c:v>
                </c:pt>
                <c:pt idx="35">
                  <c:v>-145</c:v>
                </c:pt>
              </c:numCache>
            </c:numRef>
          </c:val>
          <c:extLst xmlns:c16r2="http://schemas.microsoft.com/office/drawing/2015/06/chart">
            <c:ext xmlns:c16="http://schemas.microsoft.com/office/drawing/2014/chart" uri="{C3380CC4-5D6E-409C-BE32-E72D297353CC}">
              <c16:uniqueId val="{00000000-C7FC-4DC8-B3FF-1F39BE78C8DB}"/>
            </c:ext>
          </c:extLst>
        </c:ser>
        <c:dLbls>
          <c:showLegendKey val="0"/>
          <c:showVal val="0"/>
          <c:showCatName val="0"/>
          <c:showSerName val="0"/>
          <c:showPercent val="0"/>
          <c:showBubbleSize val="0"/>
        </c:dLbls>
        <c:gapWidth val="150"/>
        <c:axId val="57945648"/>
        <c:axId val="57946208"/>
      </c:barChart>
      <c:lineChart>
        <c:grouping val="standard"/>
        <c:varyColors val="0"/>
        <c:ser>
          <c:idx val="1"/>
          <c:order val="1"/>
          <c:tx>
            <c:strRef>
              <c:f>Charts!$G$3</c:f>
              <c:strCache>
                <c:ptCount val="1"/>
                <c:pt idx="0">
                  <c:v>Start Surplus</c:v>
                </c:pt>
              </c:strCache>
            </c:strRef>
          </c:tx>
          <c:marker>
            <c:symbol val="none"/>
          </c:marker>
          <c:val>
            <c:numRef>
              <c:f>Charts!$G$4:$G$39</c:f>
              <c:numCache>
                <c:formatCode>General</c:formatCode>
                <c:ptCount val="36"/>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pt idx="20">
                  <c:v>300</c:v>
                </c:pt>
                <c:pt idx="21">
                  <c:v>300</c:v>
                </c:pt>
                <c:pt idx="22">
                  <c:v>300</c:v>
                </c:pt>
                <c:pt idx="23">
                  <c:v>300</c:v>
                </c:pt>
                <c:pt idx="24">
                  <c:v>300</c:v>
                </c:pt>
                <c:pt idx="25">
                  <c:v>300</c:v>
                </c:pt>
                <c:pt idx="26">
                  <c:v>300</c:v>
                </c:pt>
                <c:pt idx="27">
                  <c:v>300</c:v>
                </c:pt>
                <c:pt idx="28">
                  <c:v>300</c:v>
                </c:pt>
                <c:pt idx="29">
                  <c:v>300</c:v>
                </c:pt>
                <c:pt idx="30">
                  <c:v>300</c:v>
                </c:pt>
                <c:pt idx="31">
                  <c:v>300</c:v>
                </c:pt>
                <c:pt idx="32">
                  <c:v>300</c:v>
                </c:pt>
                <c:pt idx="33">
                  <c:v>300</c:v>
                </c:pt>
                <c:pt idx="34">
                  <c:v>300</c:v>
                </c:pt>
                <c:pt idx="35">
                  <c:v>300</c:v>
                </c:pt>
              </c:numCache>
            </c:numRef>
          </c:val>
          <c:smooth val="0"/>
          <c:extLst xmlns:c16r2="http://schemas.microsoft.com/office/drawing/2015/06/chart">
            <c:ext xmlns:c16="http://schemas.microsoft.com/office/drawing/2014/chart" uri="{C3380CC4-5D6E-409C-BE32-E72D297353CC}">
              <c16:uniqueId val="{00000001-C7FC-4DC8-B3FF-1F39BE78C8DB}"/>
            </c:ext>
          </c:extLst>
        </c:ser>
        <c:dLbls>
          <c:showLegendKey val="0"/>
          <c:showVal val="0"/>
          <c:showCatName val="0"/>
          <c:showSerName val="0"/>
          <c:showPercent val="0"/>
          <c:showBubbleSize val="0"/>
        </c:dLbls>
        <c:marker val="1"/>
        <c:smooth val="0"/>
        <c:axId val="57945648"/>
        <c:axId val="57946208"/>
      </c:lineChart>
      <c:catAx>
        <c:axId val="57945648"/>
        <c:scaling>
          <c:orientation val="minMax"/>
        </c:scaling>
        <c:delete val="0"/>
        <c:axPos val="b"/>
        <c:title>
          <c:tx>
            <c:rich>
              <a:bodyPr/>
              <a:lstStyle/>
              <a:p>
                <a:pPr>
                  <a:defRPr lang="en-IN"/>
                </a:pPr>
                <a:r>
                  <a:rPr lang="en-US"/>
                  <a:t>Month of projection</a:t>
                </a:r>
              </a:p>
            </c:rich>
          </c:tx>
          <c:layout/>
          <c:overlay val="0"/>
        </c:title>
        <c:numFmt formatCode="General" sourceLinked="1"/>
        <c:majorTickMark val="out"/>
        <c:minorTickMark val="none"/>
        <c:tickLblPos val="nextTo"/>
        <c:txPr>
          <a:bodyPr/>
          <a:lstStyle/>
          <a:p>
            <a:pPr>
              <a:defRPr lang="en-IN"/>
            </a:pPr>
            <a:endParaRPr lang="en-US"/>
          </a:p>
        </c:txPr>
        <c:crossAx val="57946208"/>
        <c:crosses val="autoZero"/>
        <c:auto val="1"/>
        <c:lblAlgn val="ctr"/>
        <c:lblOffset val="100"/>
        <c:noMultiLvlLbl val="0"/>
      </c:catAx>
      <c:valAx>
        <c:axId val="57946208"/>
        <c:scaling>
          <c:orientation val="minMax"/>
        </c:scaling>
        <c:delete val="0"/>
        <c:axPos val="l"/>
        <c:title>
          <c:tx>
            <c:rich>
              <a:bodyPr rot="-5400000" vert="horz"/>
              <a:lstStyle/>
              <a:p>
                <a:pPr>
                  <a:defRPr lang="en-IN"/>
                </a:pPr>
                <a:r>
                  <a:rPr lang="en-US"/>
                  <a:t>Count of surplus lockers </a:t>
                </a:r>
              </a:p>
            </c:rich>
          </c:tx>
          <c:layout/>
          <c:overlay val="0"/>
        </c:title>
        <c:numFmt formatCode="_(* #,##0_);_(* \(#,##0\);_(* &quot;-&quot;??_);_(@_)" sourceLinked="1"/>
        <c:majorTickMark val="out"/>
        <c:minorTickMark val="none"/>
        <c:tickLblPos val="nextTo"/>
        <c:txPr>
          <a:bodyPr/>
          <a:lstStyle/>
          <a:p>
            <a:pPr>
              <a:defRPr lang="en-IN"/>
            </a:pPr>
            <a:endParaRPr lang="en-US"/>
          </a:p>
        </c:txPr>
        <c:crossAx val="57945648"/>
        <c:crosses val="autoZero"/>
        <c:crossBetween val="between"/>
      </c:valAx>
    </c:plotArea>
    <c:legend>
      <c:legendPos val="r"/>
      <c:layout>
        <c:manualLayout>
          <c:xMode val="edge"/>
          <c:yMode val="edge"/>
          <c:x val="0.75152888374828863"/>
          <c:y val="0.27825294060464684"/>
          <c:w val="0.22145647048356243"/>
          <c:h val="0.17859667541557306"/>
        </c:manualLayout>
      </c:layout>
      <c:overlay val="1"/>
      <c:txPr>
        <a:bodyPr/>
        <a:lstStyle/>
        <a:p>
          <a:pPr>
            <a:defRPr lang="en-IN"/>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IN" sz="1200"/>
            </a:pPr>
            <a:r>
              <a:rPr lang="en-US" sz="1200"/>
              <a:t>Edvert's total cost </a:t>
            </a:r>
          </a:p>
        </c:rich>
      </c:tx>
      <c:layout/>
      <c:overlay val="1"/>
    </c:title>
    <c:autoTitleDeleted val="0"/>
    <c:plotArea>
      <c:layout>
        <c:manualLayout>
          <c:layoutTarget val="inner"/>
          <c:xMode val="edge"/>
          <c:yMode val="edge"/>
          <c:x val="0.12847715897860937"/>
          <c:y val="0.1368647730914824"/>
          <c:w val="0.80754311581497651"/>
          <c:h val="0.64099720208241373"/>
        </c:manualLayout>
      </c:layout>
      <c:barChart>
        <c:barDir val="col"/>
        <c:grouping val="stacked"/>
        <c:varyColors val="0"/>
        <c:ser>
          <c:idx val="0"/>
          <c:order val="0"/>
          <c:tx>
            <c:strRef>
              <c:f>Charts!$T$3</c:f>
              <c:strCache>
                <c:ptCount val="1"/>
                <c:pt idx="0">
                  <c:v>Conversion</c:v>
                </c:pt>
              </c:strCache>
            </c:strRef>
          </c:tx>
          <c:invertIfNegative val="0"/>
          <c:dLbls>
            <c:spPr>
              <a:noFill/>
              <a:ln w="25400">
                <a:noFill/>
              </a:ln>
            </c:spPr>
            <c:txPr>
              <a:bodyPr/>
              <a:lstStyle/>
              <a:p>
                <a:pPr>
                  <a:defRPr lang="en-IN"/>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Charts!$S$4:$S$6</c:f>
              <c:strCache>
                <c:ptCount val="3"/>
                <c:pt idx="0">
                  <c:v>Base</c:v>
                </c:pt>
                <c:pt idx="1">
                  <c:v>Scn 2</c:v>
                </c:pt>
                <c:pt idx="2">
                  <c:v>Scn 3</c:v>
                </c:pt>
              </c:strCache>
            </c:strRef>
          </c:cat>
          <c:val>
            <c:numRef>
              <c:f>Charts!$T$4:$T$6</c:f>
              <c:numCache>
                <c:formatCode>_(* #,##0.0_);_(* \(#,##0.0\);_(* "-"??_);_(@_)</c:formatCode>
                <c:ptCount val="3"/>
                <c:pt idx="0">
                  <c:v>21.5</c:v>
                </c:pt>
                <c:pt idx="1">
                  <c:v>19.7</c:v>
                </c:pt>
                <c:pt idx="2">
                  <c:v>21.299999999999994</c:v>
                </c:pt>
              </c:numCache>
            </c:numRef>
          </c:val>
          <c:extLst xmlns:c16r2="http://schemas.microsoft.com/office/drawing/2015/06/chart">
            <c:ext xmlns:c16="http://schemas.microsoft.com/office/drawing/2014/chart" uri="{C3380CC4-5D6E-409C-BE32-E72D297353CC}">
              <c16:uniqueId val="{00000000-5BA6-4F60-BBA2-7B72C947C6BF}"/>
            </c:ext>
          </c:extLst>
        </c:ser>
        <c:ser>
          <c:idx val="1"/>
          <c:order val="1"/>
          <c:tx>
            <c:strRef>
              <c:f>Charts!$U$3</c:f>
              <c:strCache>
                <c:ptCount val="1"/>
                <c:pt idx="0">
                  <c:v>Shortage Penalty</c:v>
                </c:pt>
              </c:strCache>
            </c:strRef>
          </c:tx>
          <c:invertIfNegative val="0"/>
          <c:dLbls>
            <c:spPr>
              <a:noFill/>
              <a:ln w="25400">
                <a:noFill/>
              </a:ln>
            </c:spPr>
            <c:txPr>
              <a:bodyPr/>
              <a:lstStyle/>
              <a:p>
                <a:pPr>
                  <a:defRPr lang="en-IN"/>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Charts!$S$4:$S$6</c:f>
              <c:strCache>
                <c:ptCount val="3"/>
                <c:pt idx="0">
                  <c:v>Base</c:v>
                </c:pt>
                <c:pt idx="1">
                  <c:v>Scn 2</c:v>
                </c:pt>
                <c:pt idx="2">
                  <c:v>Scn 3</c:v>
                </c:pt>
              </c:strCache>
            </c:strRef>
          </c:cat>
          <c:val>
            <c:numRef>
              <c:f>Charts!$U$4:$U$6</c:f>
              <c:numCache>
                <c:formatCode>_(* #,##0.0_);_(* \(#,##0.0\);_(* "-"??_);_(@_)</c:formatCode>
                <c:ptCount val="3"/>
                <c:pt idx="0">
                  <c:v>57.12</c:v>
                </c:pt>
                <c:pt idx="1">
                  <c:v>0</c:v>
                </c:pt>
                <c:pt idx="2">
                  <c:v>0</c:v>
                </c:pt>
              </c:numCache>
            </c:numRef>
          </c:val>
          <c:extLst xmlns:c16r2="http://schemas.microsoft.com/office/drawing/2015/06/chart">
            <c:ext xmlns:c16="http://schemas.microsoft.com/office/drawing/2014/chart" uri="{C3380CC4-5D6E-409C-BE32-E72D297353CC}">
              <c16:uniqueId val="{00000001-5BA6-4F60-BBA2-7B72C947C6BF}"/>
            </c:ext>
          </c:extLst>
        </c:ser>
        <c:ser>
          <c:idx val="2"/>
          <c:order val="2"/>
          <c:tx>
            <c:strRef>
              <c:f>Charts!$V$3</c:f>
              <c:strCache>
                <c:ptCount val="1"/>
                <c:pt idx="0">
                  <c:v>Maintenance</c:v>
                </c:pt>
              </c:strCache>
            </c:strRef>
          </c:tx>
          <c:invertIfNegative val="0"/>
          <c:dLbls>
            <c:spPr>
              <a:noFill/>
              <a:ln w="25400">
                <a:noFill/>
              </a:ln>
            </c:spPr>
            <c:txPr>
              <a:bodyPr/>
              <a:lstStyle/>
              <a:p>
                <a:pPr>
                  <a:defRPr lang="en-IN"/>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Charts!$S$4:$S$6</c:f>
              <c:strCache>
                <c:ptCount val="3"/>
                <c:pt idx="0">
                  <c:v>Base</c:v>
                </c:pt>
                <c:pt idx="1">
                  <c:v>Scn 2</c:v>
                </c:pt>
                <c:pt idx="2">
                  <c:v>Scn 3</c:v>
                </c:pt>
              </c:strCache>
            </c:strRef>
          </c:cat>
          <c:val>
            <c:numRef>
              <c:f>Charts!$V$4:$V$6</c:f>
              <c:numCache>
                <c:formatCode>_(* #,##0.0_);_(* \(#,##0.0\);_(* "-"??_);_(@_)</c:formatCode>
                <c:ptCount val="3"/>
                <c:pt idx="0">
                  <c:v>88.575000000000003</c:v>
                </c:pt>
                <c:pt idx="1">
                  <c:v>162.33000000000001</c:v>
                </c:pt>
                <c:pt idx="2">
                  <c:v>141.67500000000004</c:v>
                </c:pt>
              </c:numCache>
            </c:numRef>
          </c:val>
          <c:extLst xmlns:c16r2="http://schemas.microsoft.com/office/drawing/2015/06/chart">
            <c:ext xmlns:c16="http://schemas.microsoft.com/office/drawing/2014/chart" uri="{C3380CC4-5D6E-409C-BE32-E72D297353CC}">
              <c16:uniqueId val="{00000002-5BA6-4F60-BBA2-7B72C947C6BF}"/>
            </c:ext>
          </c:extLst>
        </c:ser>
        <c:dLbls>
          <c:showLegendKey val="0"/>
          <c:showVal val="1"/>
          <c:showCatName val="0"/>
          <c:showSerName val="0"/>
          <c:showPercent val="0"/>
          <c:showBubbleSize val="0"/>
        </c:dLbls>
        <c:gapWidth val="150"/>
        <c:overlap val="100"/>
        <c:axId val="176140720"/>
        <c:axId val="176141280"/>
      </c:barChart>
      <c:catAx>
        <c:axId val="176140720"/>
        <c:scaling>
          <c:orientation val="minMax"/>
        </c:scaling>
        <c:delete val="0"/>
        <c:axPos val="b"/>
        <c:numFmt formatCode="General" sourceLinked="0"/>
        <c:majorTickMark val="out"/>
        <c:minorTickMark val="none"/>
        <c:tickLblPos val="nextTo"/>
        <c:txPr>
          <a:bodyPr/>
          <a:lstStyle/>
          <a:p>
            <a:pPr>
              <a:defRPr lang="en-IN" b="1"/>
            </a:pPr>
            <a:endParaRPr lang="en-US"/>
          </a:p>
        </c:txPr>
        <c:crossAx val="176141280"/>
        <c:crosses val="autoZero"/>
        <c:auto val="1"/>
        <c:lblAlgn val="ctr"/>
        <c:lblOffset val="100"/>
        <c:noMultiLvlLbl val="0"/>
      </c:catAx>
      <c:valAx>
        <c:axId val="176141280"/>
        <c:scaling>
          <c:orientation val="minMax"/>
        </c:scaling>
        <c:delete val="0"/>
        <c:axPos val="l"/>
        <c:title>
          <c:tx>
            <c:rich>
              <a:bodyPr rot="-5400000" vert="horz"/>
              <a:lstStyle/>
              <a:p>
                <a:pPr>
                  <a:defRPr lang="en-IN"/>
                </a:pPr>
                <a:r>
                  <a:rPr lang="en-US"/>
                  <a:t>Cost in MRupee million</a:t>
                </a:r>
              </a:p>
            </c:rich>
          </c:tx>
          <c:layout/>
          <c:overlay val="0"/>
        </c:title>
        <c:numFmt formatCode="_(* #,##0.0_);_(* \(#,##0.0\);_(* &quot;-&quot;??_);_(@_)" sourceLinked="1"/>
        <c:majorTickMark val="out"/>
        <c:minorTickMark val="none"/>
        <c:tickLblPos val="nextTo"/>
        <c:txPr>
          <a:bodyPr/>
          <a:lstStyle/>
          <a:p>
            <a:pPr>
              <a:defRPr lang="en-IN"/>
            </a:pPr>
            <a:endParaRPr lang="en-US"/>
          </a:p>
        </c:txPr>
        <c:crossAx val="176140720"/>
        <c:crosses val="autoZero"/>
        <c:crossBetween val="between"/>
      </c:valAx>
    </c:plotArea>
    <c:legend>
      <c:legendPos val="b"/>
      <c:layout/>
      <c:overlay val="0"/>
      <c:txPr>
        <a:bodyPr/>
        <a:lstStyle/>
        <a:p>
          <a:pPr>
            <a:defRPr lang="en-IN"/>
          </a:pPr>
          <a:endParaRPr lang="en-US"/>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371475</xdr:colOff>
      <xdr:row>0</xdr:row>
      <xdr:rowOff>123825</xdr:rowOff>
    </xdr:from>
    <xdr:to>
      <xdr:col>17</xdr:col>
      <xdr:colOff>85725</xdr:colOff>
      <xdr:row>14</xdr:row>
      <xdr:rowOff>171450</xdr:rowOff>
    </xdr:to>
    <xdr:graphicFrame macro="">
      <xdr:nvGraphicFramePr>
        <xdr:cNvPr id="1040" name="Chart 1">
          <a:extLst>
            <a:ext uri="{FF2B5EF4-FFF2-40B4-BE49-F238E27FC236}">
              <a16:creationId xmlns:a16="http://schemas.microsoft.com/office/drawing/2014/main" xmlns="" id="{00000000-0008-0000-0400-00001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552450</xdr:colOff>
      <xdr:row>16</xdr:row>
      <xdr:rowOff>171450</xdr:rowOff>
    </xdr:from>
    <xdr:to>
      <xdr:col>17</xdr:col>
      <xdr:colOff>123825</xdr:colOff>
      <xdr:row>30</xdr:row>
      <xdr:rowOff>76200</xdr:rowOff>
    </xdr:to>
    <xdr:graphicFrame macro="">
      <xdr:nvGraphicFramePr>
        <xdr:cNvPr id="1041" name="Chart 2">
          <a:extLst>
            <a:ext uri="{FF2B5EF4-FFF2-40B4-BE49-F238E27FC236}">
              <a16:creationId xmlns:a16="http://schemas.microsoft.com/office/drawing/2014/main" xmlns="" id="{00000000-0008-0000-0400-00001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171450</xdr:colOff>
      <xdr:row>8</xdr:row>
      <xdr:rowOff>38100</xdr:rowOff>
    </xdr:from>
    <xdr:to>
      <xdr:col>24</xdr:col>
      <xdr:colOff>342900</xdr:colOff>
      <xdr:row>23</xdr:row>
      <xdr:rowOff>66675</xdr:rowOff>
    </xdr:to>
    <xdr:graphicFrame macro="">
      <xdr:nvGraphicFramePr>
        <xdr:cNvPr id="1042" name="Chart 3">
          <a:extLst>
            <a:ext uri="{FF2B5EF4-FFF2-40B4-BE49-F238E27FC236}">
              <a16:creationId xmlns:a16="http://schemas.microsoft.com/office/drawing/2014/main" xmlns="" id="{00000000-0008-0000-0400-00001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ghom2744/Desktop/Personal/CA2/PaperSetting/CA2_Sep16_Setting/FinalVersions/CA2-model&amp;Audit_Oct16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Trail"/>
      <sheetName val="Parameters"/>
      <sheetName val="Base_NoInsurance"/>
      <sheetName val="Base_WithInsurance"/>
      <sheetName val="Scenario_2"/>
      <sheetName val="Scenario_3"/>
      <sheetName val="Charts"/>
    </sheetNames>
    <sheetDataSet>
      <sheetData sheetId="0" refreshError="1"/>
      <sheetData sheetId="1">
        <row r="5">
          <cell r="E5">
            <v>6.4340301100034303E-3</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od@end" TargetMode="External"/><Relationship Id="rId1" Type="http://schemas.openxmlformats.org/officeDocument/2006/relationships/hyperlink" Target="mailto:rod@en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od@end" TargetMode="External"/><Relationship Id="rId1" Type="http://schemas.openxmlformats.org/officeDocument/2006/relationships/hyperlink" Target="mailto:rod@en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rod@end" TargetMode="External"/><Relationship Id="rId1" Type="http://schemas.openxmlformats.org/officeDocument/2006/relationships/hyperlink" Target="mailto:rod@en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9"/>
  <sheetViews>
    <sheetView showGridLines="0" topLeftCell="A154" workbookViewId="0">
      <selection activeCell="B142" sqref="B142"/>
    </sheetView>
  </sheetViews>
  <sheetFormatPr defaultRowHeight="15" x14ac:dyDescent="0.25"/>
  <cols>
    <col min="1" max="1" width="17.140625" style="56" customWidth="1"/>
    <col min="2" max="2" width="173.42578125" style="57" customWidth="1"/>
    <col min="3" max="16384" width="9.140625" style="56"/>
  </cols>
  <sheetData>
    <row r="1" spans="1:2" ht="23.25" x14ac:dyDescent="0.35">
      <c r="A1" s="72" t="s">
        <v>201</v>
      </c>
    </row>
    <row r="3" spans="1:2" x14ac:dyDescent="0.25">
      <c r="A3" s="58" t="s">
        <v>200</v>
      </c>
    </row>
    <row r="4" spans="1:2" x14ac:dyDescent="0.25">
      <c r="B4" s="61" t="s">
        <v>199</v>
      </c>
    </row>
    <row r="5" spans="1:2" x14ac:dyDescent="0.25">
      <c r="B5" s="61" t="s">
        <v>198</v>
      </c>
    </row>
    <row r="6" spans="1:2" x14ac:dyDescent="0.25">
      <c r="B6" s="61" t="s">
        <v>197</v>
      </c>
    </row>
    <row r="8" spans="1:2" x14ac:dyDescent="0.25">
      <c r="A8" s="58" t="s">
        <v>196</v>
      </c>
    </row>
    <row r="9" spans="1:2" x14ac:dyDescent="0.25">
      <c r="B9" s="71" t="s">
        <v>195</v>
      </c>
    </row>
    <row r="10" spans="1:2" x14ac:dyDescent="0.25">
      <c r="B10" s="61" t="s">
        <v>194</v>
      </c>
    </row>
    <row r="11" spans="1:2" x14ac:dyDescent="0.25">
      <c r="B11" s="61" t="s">
        <v>193</v>
      </c>
    </row>
    <row r="12" spans="1:2" x14ac:dyDescent="0.25">
      <c r="B12" s="61" t="s">
        <v>210</v>
      </c>
    </row>
    <row r="13" spans="1:2" x14ac:dyDescent="0.25">
      <c r="B13" s="61" t="s">
        <v>192</v>
      </c>
    </row>
    <row r="14" spans="1:2" x14ac:dyDescent="0.25">
      <c r="B14" s="61" t="s">
        <v>191</v>
      </c>
    </row>
    <row r="15" spans="1:2" x14ac:dyDescent="0.25">
      <c r="B15" s="57" t="s">
        <v>190</v>
      </c>
    </row>
    <row r="16" spans="1:2" x14ac:dyDescent="0.25">
      <c r="B16" s="61" t="s">
        <v>189</v>
      </c>
    </row>
    <row r="17" spans="1:2" x14ac:dyDescent="0.25">
      <c r="B17" s="61"/>
    </row>
    <row r="18" spans="1:2" x14ac:dyDescent="0.25">
      <c r="A18" s="58" t="s">
        <v>188</v>
      </c>
    </row>
    <row r="19" spans="1:2" x14ac:dyDescent="0.25">
      <c r="A19" s="58"/>
      <c r="B19" s="70" t="s">
        <v>211</v>
      </c>
    </row>
    <row r="20" spans="1:2" x14ac:dyDescent="0.25">
      <c r="B20" s="61" t="s">
        <v>187</v>
      </c>
    </row>
    <row r="21" spans="1:2" x14ac:dyDescent="0.25">
      <c r="B21" s="61" t="s">
        <v>186</v>
      </c>
    </row>
    <row r="22" spans="1:2" ht="30" x14ac:dyDescent="0.25">
      <c r="B22" s="57" t="s">
        <v>209</v>
      </c>
    </row>
    <row r="23" spans="1:2" x14ac:dyDescent="0.25">
      <c r="B23" s="61" t="s">
        <v>185</v>
      </c>
    </row>
    <row r="24" spans="1:2" x14ac:dyDescent="0.25">
      <c r="B24" s="61" t="s">
        <v>208</v>
      </c>
    </row>
    <row r="25" spans="1:2" x14ac:dyDescent="0.25">
      <c r="B25" s="61" t="s">
        <v>184</v>
      </c>
    </row>
    <row r="27" spans="1:2" x14ac:dyDescent="0.25">
      <c r="A27" s="58" t="s">
        <v>183</v>
      </c>
    </row>
    <row r="29" spans="1:2" ht="30" x14ac:dyDescent="0.25">
      <c r="B29" s="63" t="s">
        <v>182</v>
      </c>
    </row>
    <row r="30" spans="1:2" s="77" customFormat="1" x14ac:dyDescent="0.25">
      <c r="B30" s="78"/>
    </row>
    <row r="31" spans="1:2" x14ac:dyDescent="0.25">
      <c r="B31" s="61" t="s">
        <v>181</v>
      </c>
    </row>
    <row r="32" spans="1:2" x14ac:dyDescent="0.25">
      <c r="B32" s="56"/>
    </row>
    <row r="33" spans="2:2" x14ac:dyDescent="0.25">
      <c r="B33" s="79" t="s">
        <v>212</v>
      </c>
    </row>
    <row r="34" spans="2:2" x14ac:dyDescent="0.25">
      <c r="B34" s="69"/>
    </row>
    <row r="35" spans="2:2" x14ac:dyDescent="0.25">
      <c r="B35" s="66" t="s">
        <v>5</v>
      </c>
    </row>
    <row r="36" spans="2:2" x14ac:dyDescent="0.25">
      <c r="B36" s="61" t="s">
        <v>180</v>
      </c>
    </row>
    <row r="37" spans="2:2" x14ac:dyDescent="0.25">
      <c r="B37" s="61" t="s">
        <v>179</v>
      </c>
    </row>
    <row r="38" spans="2:2" x14ac:dyDescent="0.25">
      <c r="B38" s="69"/>
    </row>
    <row r="39" spans="2:2" x14ac:dyDescent="0.25">
      <c r="B39" s="66" t="s">
        <v>178</v>
      </c>
    </row>
    <row r="40" spans="2:2" x14ac:dyDescent="0.25">
      <c r="B40" s="61" t="s">
        <v>177</v>
      </c>
    </row>
    <row r="41" spans="2:2" x14ac:dyDescent="0.25">
      <c r="B41" s="61" t="s">
        <v>176</v>
      </c>
    </row>
    <row r="42" spans="2:2" x14ac:dyDescent="0.25">
      <c r="B42" s="61"/>
    </row>
    <row r="43" spans="2:2" x14ac:dyDescent="0.25">
      <c r="B43" s="66" t="s">
        <v>175</v>
      </c>
    </row>
    <row r="44" spans="2:2" x14ac:dyDescent="0.25">
      <c r="B44" s="61" t="s">
        <v>135</v>
      </c>
    </row>
    <row r="45" spans="2:2" ht="30" x14ac:dyDescent="0.25">
      <c r="B45" s="61" t="s">
        <v>174</v>
      </c>
    </row>
    <row r="46" spans="2:2" x14ac:dyDescent="0.25">
      <c r="B46" s="61" t="s">
        <v>133</v>
      </c>
    </row>
    <row r="47" spans="2:2" x14ac:dyDescent="0.25">
      <c r="B47" s="61"/>
    </row>
    <row r="48" spans="2:2" x14ac:dyDescent="0.25">
      <c r="B48" s="66" t="s">
        <v>173</v>
      </c>
    </row>
    <row r="49" spans="2:2" x14ac:dyDescent="0.25">
      <c r="B49" s="61" t="s">
        <v>135</v>
      </c>
    </row>
    <row r="50" spans="2:2" x14ac:dyDescent="0.25">
      <c r="B50" s="61" t="s">
        <v>172</v>
      </c>
    </row>
    <row r="51" spans="2:2" x14ac:dyDescent="0.25">
      <c r="B51" s="61" t="s">
        <v>133</v>
      </c>
    </row>
    <row r="52" spans="2:2" x14ac:dyDescent="0.25">
      <c r="B52" s="61"/>
    </row>
    <row r="53" spans="2:2" x14ac:dyDescent="0.25">
      <c r="B53" s="66" t="s">
        <v>171</v>
      </c>
    </row>
    <row r="54" spans="2:2" x14ac:dyDescent="0.25">
      <c r="B54" s="61" t="s">
        <v>170</v>
      </c>
    </row>
    <row r="55" spans="2:2" x14ac:dyDescent="0.25">
      <c r="B55" s="61" t="s">
        <v>169</v>
      </c>
    </row>
    <row r="56" spans="2:2" x14ac:dyDescent="0.25">
      <c r="B56" s="61"/>
    </row>
    <row r="57" spans="2:2" x14ac:dyDescent="0.25">
      <c r="B57" s="66" t="s">
        <v>168</v>
      </c>
    </row>
    <row r="58" spans="2:2" x14ac:dyDescent="0.25">
      <c r="B58" s="61" t="s">
        <v>167</v>
      </c>
    </row>
    <row r="59" spans="2:2" x14ac:dyDescent="0.25">
      <c r="B59" s="61" t="s">
        <v>166</v>
      </c>
    </row>
    <row r="60" spans="2:2" x14ac:dyDescent="0.25">
      <c r="B60" s="61" t="s">
        <v>165</v>
      </c>
    </row>
    <row r="61" spans="2:2" x14ac:dyDescent="0.25">
      <c r="B61" s="61"/>
    </row>
    <row r="62" spans="2:2" x14ac:dyDescent="0.25">
      <c r="B62" s="66" t="s">
        <v>164</v>
      </c>
    </row>
    <row r="63" spans="2:2" x14ac:dyDescent="0.25">
      <c r="B63" s="61" t="s">
        <v>160</v>
      </c>
    </row>
    <row r="64" spans="2:2" x14ac:dyDescent="0.25">
      <c r="B64" s="61" t="s">
        <v>163</v>
      </c>
    </row>
    <row r="65" spans="2:2" x14ac:dyDescent="0.25">
      <c r="B65" s="61" t="s">
        <v>162</v>
      </c>
    </row>
    <row r="66" spans="2:2" x14ac:dyDescent="0.25">
      <c r="B66" s="61" t="s">
        <v>157</v>
      </c>
    </row>
    <row r="67" spans="2:2" x14ac:dyDescent="0.25">
      <c r="B67" s="61"/>
    </row>
    <row r="68" spans="2:2" x14ac:dyDescent="0.25">
      <c r="B68" s="66" t="s">
        <v>161</v>
      </c>
    </row>
    <row r="69" spans="2:2" x14ac:dyDescent="0.25">
      <c r="B69" s="61" t="s">
        <v>160</v>
      </c>
    </row>
    <row r="70" spans="2:2" x14ac:dyDescent="0.25">
      <c r="B70" s="61" t="s">
        <v>159</v>
      </c>
    </row>
    <row r="71" spans="2:2" x14ac:dyDescent="0.25">
      <c r="B71" s="61" t="s">
        <v>158</v>
      </c>
    </row>
    <row r="72" spans="2:2" x14ac:dyDescent="0.25">
      <c r="B72" s="61" t="s">
        <v>157</v>
      </c>
    </row>
    <row r="73" spans="2:2" x14ac:dyDescent="0.25">
      <c r="B73" s="61"/>
    </row>
    <row r="74" spans="2:2" x14ac:dyDescent="0.25">
      <c r="B74" s="11" t="s">
        <v>156</v>
      </c>
    </row>
    <row r="75" spans="2:2" x14ac:dyDescent="0.25">
      <c r="B75" s="11" t="s">
        <v>155</v>
      </c>
    </row>
    <row r="76" spans="2:2" x14ac:dyDescent="0.25">
      <c r="B76" s="61"/>
    </row>
    <row r="77" spans="2:2" x14ac:dyDescent="0.25">
      <c r="B77" s="68" t="s">
        <v>154</v>
      </c>
    </row>
    <row r="78" spans="2:2" x14ac:dyDescent="0.25">
      <c r="B78" s="11" t="s">
        <v>153</v>
      </c>
    </row>
    <row r="79" spans="2:2" x14ac:dyDescent="0.25">
      <c r="B79" s="11" t="s">
        <v>152</v>
      </c>
    </row>
    <row r="80" spans="2:2" x14ac:dyDescent="0.25">
      <c r="B80" s="11" t="s">
        <v>151</v>
      </c>
    </row>
    <row r="81" spans="2:2" x14ac:dyDescent="0.25">
      <c r="B81" s="11" t="s">
        <v>147</v>
      </c>
    </row>
    <row r="82" spans="2:2" x14ac:dyDescent="0.25">
      <c r="B82" s="67"/>
    </row>
    <row r="83" spans="2:2" x14ac:dyDescent="0.25">
      <c r="B83" s="11" t="s">
        <v>150</v>
      </c>
    </row>
    <row r="84" spans="2:2" x14ac:dyDescent="0.25">
      <c r="B84" s="11" t="s">
        <v>149</v>
      </c>
    </row>
    <row r="85" spans="2:2" x14ac:dyDescent="0.25">
      <c r="B85" s="11" t="s">
        <v>148</v>
      </c>
    </row>
    <row r="86" spans="2:2" x14ac:dyDescent="0.25">
      <c r="B86" s="11" t="s">
        <v>147</v>
      </c>
    </row>
    <row r="87" spans="2:2" x14ac:dyDescent="0.25">
      <c r="B87" s="67"/>
    </row>
    <row r="88" spans="2:2" x14ac:dyDescent="0.25">
      <c r="B88" s="11" t="s">
        <v>146</v>
      </c>
    </row>
    <row r="89" spans="2:2" x14ac:dyDescent="0.25">
      <c r="B89" s="11" t="s">
        <v>145</v>
      </c>
    </row>
    <row r="90" spans="2:2" x14ac:dyDescent="0.25">
      <c r="B90" s="11" t="s">
        <v>144</v>
      </c>
    </row>
    <row r="91" spans="2:2" x14ac:dyDescent="0.25">
      <c r="B91" s="11" t="s">
        <v>143</v>
      </c>
    </row>
    <row r="92" spans="2:2" x14ac:dyDescent="0.25">
      <c r="B92" s="11" t="s">
        <v>207</v>
      </c>
    </row>
    <row r="93" spans="2:2" x14ac:dyDescent="0.25">
      <c r="B93" s="61"/>
    </row>
    <row r="94" spans="2:2" x14ac:dyDescent="0.25">
      <c r="B94" s="65" t="s">
        <v>142</v>
      </c>
    </row>
    <row r="95" spans="2:2" x14ac:dyDescent="0.25">
      <c r="B95" s="61" t="s">
        <v>141</v>
      </c>
    </row>
    <row r="96" spans="2:2" x14ac:dyDescent="0.25">
      <c r="B96" s="61"/>
    </row>
    <row r="97" spans="2:2" x14ac:dyDescent="0.25">
      <c r="B97" s="66" t="s">
        <v>5</v>
      </c>
    </row>
    <row r="98" spans="2:2" x14ac:dyDescent="0.25">
      <c r="B98" s="61" t="s">
        <v>140</v>
      </c>
    </row>
    <row r="99" spans="2:2" x14ac:dyDescent="0.25">
      <c r="B99" s="61" t="s">
        <v>139</v>
      </c>
    </row>
    <row r="100" spans="2:2" x14ac:dyDescent="0.25">
      <c r="B100" s="61"/>
    </row>
    <row r="101" spans="2:2" x14ac:dyDescent="0.25">
      <c r="B101" s="66" t="s">
        <v>138</v>
      </c>
    </row>
    <row r="102" spans="2:2" x14ac:dyDescent="0.25">
      <c r="B102" s="61" t="s">
        <v>135</v>
      </c>
    </row>
    <row r="103" spans="2:2" x14ac:dyDescent="0.25">
      <c r="B103" s="61" t="s">
        <v>137</v>
      </c>
    </row>
    <row r="104" spans="2:2" x14ac:dyDescent="0.25">
      <c r="B104" s="61"/>
    </row>
    <row r="105" spans="2:2" x14ac:dyDescent="0.25">
      <c r="B105" s="66" t="s">
        <v>136</v>
      </c>
    </row>
    <row r="106" spans="2:2" x14ac:dyDescent="0.25">
      <c r="B106" s="61" t="s">
        <v>135</v>
      </c>
    </row>
    <row r="107" spans="2:2" x14ac:dyDescent="0.25">
      <c r="B107" s="61" t="s">
        <v>134</v>
      </c>
    </row>
    <row r="108" spans="2:2" x14ac:dyDescent="0.25">
      <c r="B108" s="61" t="s">
        <v>133</v>
      </c>
    </row>
    <row r="109" spans="2:2" x14ac:dyDescent="0.25">
      <c r="B109" s="61"/>
    </row>
    <row r="110" spans="2:2" x14ac:dyDescent="0.25">
      <c r="B110" s="11" t="s">
        <v>132</v>
      </c>
    </row>
    <row r="111" spans="2:2" x14ac:dyDescent="0.25">
      <c r="B111" s="61"/>
    </row>
    <row r="112" spans="2:2" x14ac:dyDescent="0.25">
      <c r="B112" s="65" t="s">
        <v>131</v>
      </c>
    </row>
    <row r="113" spans="2:2" x14ac:dyDescent="0.25">
      <c r="B113" s="61" t="s">
        <v>130</v>
      </c>
    </row>
    <row r="114" spans="2:2" x14ac:dyDescent="0.25">
      <c r="B114" s="61" t="s">
        <v>129</v>
      </c>
    </row>
    <row r="115" spans="2:2" x14ac:dyDescent="0.25">
      <c r="B115" s="61" t="s">
        <v>128</v>
      </c>
    </row>
    <row r="116" spans="2:2" x14ac:dyDescent="0.25">
      <c r="B116" s="61" t="s">
        <v>127</v>
      </c>
    </row>
    <row r="117" spans="2:2" x14ac:dyDescent="0.25">
      <c r="B117" s="61" t="s">
        <v>126</v>
      </c>
    </row>
    <row r="118" spans="2:2" x14ac:dyDescent="0.25">
      <c r="B118" s="61" t="s">
        <v>125</v>
      </c>
    </row>
    <row r="119" spans="2:2" s="64" customFormat="1" x14ac:dyDescent="0.25">
      <c r="B119" s="61"/>
    </row>
    <row r="120" spans="2:2" s="64" customFormat="1" x14ac:dyDescent="0.25">
      <c r="B120" s="61" t="s">
        <v>124</v>
      </c>
    </row>
    <row r="121" spans="2:2" s="64" customFormat="1" x14ac:dyDescent="0.25">
      <c r="B121" s="11"/>
    </row>
    <row r="122" spans="2:2" s="64" customFormat="1" x14ac:dyDescent="0.25">
      <c r="B122" s="11" t="s">
        <v>123</v>
      </c>
    </row>
    <row r="123" spans="2:2" s="64" customFormat="1" x14ac:dyDescent="0.25">
      <c r="B123" s="11"/>
    </row>
    <row r="124" spans="2:2" s="64" customFormat="1" x14ac:dyDescent="0.25">
      <c r="B124" s="65" t="s">
        <v>122</v>
      </c>
    </row>
    <row r="125" spans="2:2" s="64" customFormat="1" x14ac:dyDescent="0.25">
      <c r="B125" s="11"/>
    </row>
    <row r="126" spans="2:2" s="64" customFormat="1" x14ac:dyDescent="0.25">
      <c r="B126" s="61" t="s">
        <v>121</v>
      </c>
    </row>
    <row r="127" spans="2:2" s="64" customFormat="1" x14ac:dyDescent="0.25">
      <c r="B127" s="61" t="s">
        <v>120</v>
      </c>
    </row>
    <row r="128" spans="2:2" s="64" customFormat="1" x14ac:dyDescent="0.25">
      <c r="B128" s="61" t="s">
        <v>119</v>
      </c>
    </row>
    <row r="129" spans="2:2" s="64" customFormat="1" x14ac:dyDescent="0.25">
      <c r="B129" s="61"/>
    </row>
    <row r="130" spans="2:2" s="64" customFormat="1" x14ac:dyDescent="0.25">
      <c r="B130" s="61" t="s">
        <v>118</v>
      </c>
    </row>
    <row r="131" spans="2:2" s="64" customFormat="1" x14ac:dyDescent="0.25">
      <c r="B131" s="61" t="s">
        <v>117</v>
      </c>
    </row>
    <row r="132" spans="2:2" s="64" customFormat="1" x14ac:dyDescent="0.25">
      <c r="B132" s="61"/>
    </row>
    <row r="133" spans="2:2" s="64" customFormat="1" x14ac:dyDescent="0.25">
      <c r="B133" s="61" t="s">
        <v>116</v>
      </c>
    </row>
    <row r="134" spans="2:2" s="64" customFormat="1" x14ac:dyDescent="0.25">
      <c r="B134" s="61" t="s">
        <v>115</v>
      </c>
    </row>
    <row r="135" spans="2:2" s="64" customFormat="1" x14ac:dyDescent="0.25">
      <c r="B135" s="61" t="s">
        <v>114</v>
      </c>
    </row>
    <row r="136" spans="2:2" s="64" customFormat="1" x14ac:dyDescent="0.25">
      <c r="B136" s="61"/>
    </row>
    <row r="137" spans="2:2" s="64" customFormat="1" x14ac:dyDescent="0.25">
      <c r="B137" s="61" t="s">
        <v>113</v>
      </c>
    </row>
    <row r="138" spans="2:2" s="64" customFormat="1" x14ac:dyDescent="0.25">
      <c r="B138" s="61" t="s">
        <v>112</v>
      </c>
    </row>
    <row r="139" spans="2:2" s="64" customFormat="1" x14ac:dyDescent="0.25">
      <c r="B139" s="61"/>
    </row>
    <row r="140" spans="2:2" s="64" customFormat="1" x14ac:dyDescent="0.25">
      <c r="B140" s="61" t="s">
        <v>111</v>
      </c>
    </row>
    <row r="141" spans="2:2" s="64" customFormat="1" x14ac:dyDescent="0.25">
      <c r="B141" s="61"/>
    </row>
    <row r="142" spans="2:2" s="64" customFormat="1" x14ac:dyDescent="0.25">
      <c r="B142" s="11" t="s">
        <v>110</v>
      </c>
    </row>
    <row r="143" spans="2:2" x14ac:dyDescent="0.25">
      <c r="B143" s="11" t="s">
        <v>109</v>
      </c>
    </row>
    <row r="144" spans="2:2" x14ac:dyDescent="0.25">
      <c r="B144" s="61"/>
    </row>
    <row r="145" spans="1:2" x14ac:dyDescent="0.25">
      <c r="A145" s="74" t="s">
        <v>108</v>
      </c>
      <c r="B145" s="11"/>
    </row>
    <row r="146" spans="1:2" x14ac:dyDescent="0.25">
      <c r="B146" s="63" t="s">
        <v>107</v>
      </c>
    </row>
    <row r="147" spans="1:2" x14ac:dyDescent="0.25">
      <c r="B147" s="61" t="s">
        <v>99</v>
      </c>
    </row>
    <row r="148" spans="1:2" x14ac:dyDescent="0.25">
      <c r="B148" s="75" t="s">
        <v>98</v>
      </c>
    </row>
    <row r="149" spans="1:2" x14ac:dyDescent="0.25">
      <c r="B149" s="62"/>
    </row>
    <row r="150" spans="1:2" x14ac:dyDescent="0.25">
      <c r="B150" s="61" t="s">
        <v>106</v>
      </c>
    </row>
    <row r="151" spans="1:2" x14ac:dyDescent="0.25">
      <c r="B151" s="62"/>
    </row>
    <row r="152" spans="1:2" x14ac:dyDescent="0.25">
      <c r="B152" s="11" t="s">
        <v>105</v>
      </c>
    </row>
    <row r="153" spans="1:2" x14ac:dyDescent="0.25">
      <c r="B153" s="11" t="s">
        <v>104</v>
      </c>
    </row>
    <row r="154" spans="1:2" x14ac:dyDescent="0.25">
      <c r="B154" s="11" t="s">
        <v>103</v>
      </c>
    </row>
    <row r="155" spans="1:2" x14ac:dyDescent="0.25">
      <c r="B155" s="11"/>
    </row>
    <row r="156" spans="1:2" x14ac:dyDescent="0.25">
      <c r="B156" s="11" t="s">
        <v>102</v>
      </c>
    </row>
    <row r="157" spans="1:2" x14ac:dyDescent="0.25">
      <c r="B157" s="11"/>
    </row>
    <row r="158" spans="1:2" x14ac:dyDescent="0.25">
      <c r="A158" s="74" t="s">
        <v>101</v>
      </c>
      <c r="B158" s="62"/>
    </row>
    <row r="159" spans="1:2" x14ac:dyDescent="0.25">
      <c r="B159" s="63" t="s">
        <v>100</v>
      </c>
    </row>
    <row r="160" spans="1:2" x14ac:dyDescent="0.25">
      <c r="B160" s="61" t="s">
        <v>99</v>
      </c>
    </row>
    <row r="161" spans="1:2" x14ac:dyDescent="0.25">
      <c r="B161" s="75" t="s">
        <v>98</v>
      </c>
    </row>
    <row r="162" spans="1:2" x14ac:dyDescent="0.25">
      <c r="B162" s="62"/>
    </row>
    <row r="163" spans="1:2" x14ac:dyDescent="0.25">
      <c r="B163" s="61" t="s">
        <v>97</v>
      </c>
    </row>
    <row r="164" spans="1:2" x14ac:dyDescent="0.25">
      <c r="B164" s="60"/>
    </row>
    <row r="165" spans="1:2" x14ac:dyDescent="0.25">
      <c r="B165" s="60" t="s">
        <v>96</v>
      </c>
    </row>
    <row r="166" spans="1:2" x14ac:dyDescent="0.25">
      <c r="B166" s="60" t="s">
        <v>95</v>
      </c>
    </row>
    <row r="167" spans="1:2" x14ac:dyDescent="0.25">
      <c r="B167" s="61" t="s">
        <v>94</v>
      </c>
    </row>
    <row r="168" spans="1:2" x14ac:dyDescent="0.25">
      <c r="B168" s="61" t="s">
        <v>93</v>
      </c>
    </row>
    <row r="169" spans="1:2" x14ac:dyDescent="0.25">
      <c r="B169" s="61" t="s">
        <v>92</v>
      </c>
    </row>
    <row r="170" spans="1:2" x14ac:dyDescent="0.25">
      <c r="B170" s="61" t="s">
        <v>91</v>
      </c>
    </row>
    <row r="171" spans="1:2" x14ac:dyDescent="0.25">
      <c r="B171" s="60"/>
    </row>
    <row r="172" spans="1:2" x14ac:dyDescent="0.25">
      <c r="B172" s="11" t="s">
        <v>90</v>
      </c>
    </row>
    <row r="173" spans="1:2" x14ac:dyDescent="0.25">
      <c r="A173" s="58"/>
      <c r="B173" s="11" t="s">
        <v>89</v>
      </c>
    </row>
    <row r="174" spans="1:2" x14ac:dyDescent="0.25">
      <c r="A174" s="58"/>
      <c r="B174" s="11" t="s">
        <v>88</v>
      </c>
    </row>
    <row r="175" spans="1:2" x14ac:dyDescent="0.25">
      <c r="B175" s="11" t="s">
        <v>87</v>
      </c>
    </row>
    <row r="176" spans="1:2" x14ac:dyDescent="0.25">
      <c r="B176" s="11" t="s">
        <v>86</v>
      </c>
    </row>
    <row r="181" spans="1:1" s="57" customFormat="1" x14ac:dyDescent="0.25">
      <c r="A181" s="58"/>
    </row>
    <row r="200" spans="1:2" x14ac:dyDescent="0.25">
      <c r="B200" s="59"/>
    </row>
    <row r="201" spans="1:2" s="57" customFormat="1" x14ac:dyDescent="0.25">
      <c r="A201" s="58"/>
    </row>
    <row r="209" spans="1:1" s="57" customFormat="1" x14ac:dyDescent="0.25">
      <c r="A209" s="58"/>
    </row>
  </sheetData>
  <pageMargins left="0.7" right="0.7" top="0.75" bottom="0.75" header="0.3" footer="0.3"/>
  <pageSetup paperSize="9"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showGridLines="0" topLeftCell="C1" workbookViewId="0">
      <selection activeCell="Q9" sqref="Q9"/>
    </sheetView>
  </sheetViews>
  <sheetFormatPr defaultRowHeight="15" x14ac:dyDescent="0.25"/>
  <cols>
    <col min="2" max="2" width="31" bestFit="1" customWidth="1"/>
    <col min="3" max="3" width="16.85546875" style="1" customWidth="1"/>
    <col min="4" max="4" width="17.85546875" customWidth="1"/>
    <col min="6" max="6" width="10.7109375" bestFit="1" customWidth="1"/>
    <col min="10" max="10" width="17.7109375" bestFit="1" customWidth="1"/>
    <col min="11" max="11" width="12.28515625" customWidth="1"/>
    <col min="13" max="13" width="15.28515625" bestFit="1" customWidth="1"/>
    <col min="14" max="14" width="17.7109375" bestFit="1" customWidth="1"/>
    <col min="15" max="15" width="10.85546875" customWidth="1"/>
  </cols>
  <sheetData>
    <row r="1" spans="2:17" x14ac:dyDescent="0.25">
      <c r="I1" s="80" t="s">
        <v>202</v>
      </c>
      <c r="J1" s="80"/>
      <c r="K1" s="80"/>
      <c r="M1" s="80" t="s">
        <v>203</v>
      </c>
      <c r="N1" s="80"/>
      <c r="O1" s="80"/>
      <c r="Q1" s="14" t="s">
        <v>204</v>
      </c>
    </row>
    <row r="2" spans="2:17" x14ac:dyDescent="0.25">
      <c r="H2" s="3"/>
      <c r="I2" s="3"/>
      <c r="J2" s="3" t="s">
        <v>205</v>
      </c>
      <c r="K2" s="3" t="s">
        <v>206</v>
      </c>
      <c r="L2" s="3"/>
      <c r="M2" s="3"/>
      <c r="N2" s="3" t="s">
        <v>205</v>
      </c>
      <c r="O2" s="3" t="s">
        <v>206</v>
      </c>
    </row>
    <row r="3" spans="2:17" x14ac:dyDescent="0.25">
      <c r="H3" s="81" t="s">
        <v>3</v>
      </c>
      <c r="I3" s="84">
        <v>1</v>
      </c>
      <c r="J3" s="85">
        <v>0.08</v>
      </c>
      <c r="K3" s="85">
        <v>0.12</v>
      </c>
      <c r="L3" s="81" t="s">
        <v>3</v>
      </c>
      <c r="M3" s="84">
        <v>1</v>
      </c>
      <c r="N3" s="88">
        <v>0</v>
      </c>
      <c r="O3" s="85">
        <v>0.05</v>
      </c>
    </row>
    <row r="4" spans="2:17" x14ac:dyDescent="0.25">
      <c r="H4" s="81"/>
      <c r="I4" s="84">
        <v>2</v>
      </c>
      <c r="J4" s="85">
        <v>0.08</v>
      </c>
      <c r="K4" s="85">
        <v>0.12</v>
      </c>
      <c r="L4" s="81"/>
      <c r="M4" s="84">
        <v>2</v>
      </c>
      <c r="N4" s="88">
        <v>0</v>
      </c>
      <c r="O4" s="85">
        <v>0.05</v>
      </c>
    </row>
    <row r="5" spans="2:17" x14ac:dyDescent="0.25">
      <c r="B5" t="s">
        <v>82</v>
      </c>
      <c r="C5" s="1">
        <v>2000</v>
      </c>
      <c r="H5" s="81"/>
      <c r="I5" s="84">
        <v>3</v>
      </c>
      <c r="J5" s="85">
        <v>0.08</v>
      </c>
      <c r="K5" s="85">
        <v>0.12</v>
      </c>
      <c r="L5" s="81"/>
      <c r="M5" s="84">
        <v>3</v>
      </c>
      <c r="N5" s="88">
        <v>0</v>
      </c>
      <c r="O5" s="85">
        <v>0.05</v>
      </c>
    </row>
    <row r="6" spans="2:17" x14ac:dyDescent="0.25">
      <c r="B6" t="s">
        <v>78</v>
      </c>
      <c r="C6" s="1">
        <v>200</v>
      </c>
      <c r="H6" s="81"/>
      <c r="I6" s="84">
        <v>4</v>
      </c>
      <c r="J6" s="85">
        <v>0.08</v>
      </c>
      <c r="K6" s="85">
        <v>0.12</v>
      </c>
      <c r="L6" s="81"/>
      <c r="M6" s="84">
        <v>4</v>
      </c>
      <c r="N6" s="88">
        <v>0</v>
      </c>
      <c r="O6" s="85">
        <v>0.05</v>
      </c>
    </row>
    <row r="7" spans="2:17" x14ac:dyDescent="0.25">
      <c r="B7" t="s">
        <v>46</v>
      </c>
      <c r="C7" s="1">
        <v>2500</v>
      </c>
      <c r="H7" s="81"/>
      <c r="I7" s="84">
        <v>5</v>
      </c>
      <c r="J7" s="85">
        <v>0.08</v>
      </c>
      <c r="K7" s="85">
        <v>0.12</v>
      </c>
      <c r="L7" s="81"/>
      <c r="M7" s="84">
        <v>5</v>
      </c>
      <c r="N7" s="88">
        <v>0</v>
      </c>
      <c r="O7" s="85">
        <v>0.05</v>
      </c>
    </row>
    <row r="8" spans="2:17" x14ac:dyDescent="0.25">
      <c r="H8" s="81"/>
      <c r="I8" s="84">
        <v>6</v>
      </c>
      <c r="J8" s="85">
        <v>0.08</v>
      </c>
      <c r="K8" s="85">
        <v>0.12</v>
      </c>
      <c r="L8" s="81"/>
      <c r="M8" s="84">
        <v>6</v>
      </c>
      <c r="N8" s="88">
        <v>0</v>
      </c>
      <c r="O8" s="85">
        <v>0.05</v>
      </c>
    </row>
    <row r="9" spans="2:17" x14ac:dyDescent="0.25">
      <c r="B9" t="s">
        <v>48</v>
      </c>
      <c r="C9" s="1">
        <v>18</v>
      </c>
      <c r="H9" s="81"/>
      <c r="I9" s="84">
        <v>7</v>
      </c>
      <c r="J9" s="85">
        <v>0.08</v>
      </c>
      <c r="K9" s="85">
        <v>0.12</v>
      </c>
      <c r="L9" s="81"/>
      <c r="M9" s="84">
        <v>7</v>
      </c>
      <c r="N9" s="88">
        <v>0</v>
      </c>
      <c r="O9" s="85">
        <v>0.05</v>
      </c>
    </row>
    <row r="10" spans="2:17" x14ac:dyDescent="0.25">
      <c r="B10" t="s">
        <v>47</v>
      </c>
      <c r="C10" s="1">
        <v>19</v>
      </c>
      <c r="H10" s="81"/>
      <c r="I10" s="84">
        <v>8</v>
      </c>
      <c r="J10" s="85">
        <v>0.08</v>
      </c>
      <c r="K10" s="85">
        <v>0.12</v>
      </c>
      <c r="L10" s="81"/>
      <c r="M10" s="84">
        <v>8</v>
      </c>
      <c r="N10" s="88">
        <v>0</v>
      </c>
      <c r="O10" s="85">
        <v>0.05</v>
      </c>
    </row>
    <row r="11" spans="2:17" x14ac:dyDescent="0.25">
      <c r="H11" s="81"/>
      <c r="I11" s="84">
        <v>9</v>
      </c>
      <c r="J11" s="85">
        <v>0.08</v>
      </c>
      <c r="K11" s="85">
        <v>0.12</v>
      </c>
      <c r="L11" s="81"/>
      <c r="M11" s="84">
        <v>9</v>
      </c>
      <c r="N11" s="88">
        <v>0</v>
      </c>
      <c r="O11" s="85">
        <v>0.05</v>
      </c>
    </row>
    <row r="12" spans="2:17" x14ac:dyDescent="0.25">
      <c r="B12" t="s">
        <v>75</v>
      </c>
      <c r="D12" s="8"/>
      <c r="E12" s="9"/>
      <c r="H12" s="81"/>
      <c r="I12" s="84">
        <v>10</v>
      </c>
      <c r="J12" s="85">
        <v>0.08</v>
      </c>
      <c r="K12" s="85">
        <v>0.12</v>
      </c>
      <c r="L12" s="81"/>
      <c r="M12" s="84">
        <v>10</v>
      </c>
      <c r="N12" s="88">
        <v>0</v>
      </c>
      <c r="O12" s="85">
        <v>0.05</v>
      </c>
    </row>
    <row r="13" spans="2:17" x14ac:dyDescent="0.25">
      <c r="B13" t="s">
        <v>3</v>
      </c>
      <c r="C13" s="73">
        <f>VLOOKUP(B13,$H$3:$J$38,3,FALSE)</f>
        <v>0.08</v>
      </c>
      <c r="D13" s="8" t="s">
        <v>1</v>
      </c>
      <c r="E13" s="9">
        <f>(1+C13)^(1/12)-1</f>
        <v>6.4340301100034303E-3</v>
      </c>
      <c r="F13" s="8" t="s">
        <v>2</v>
      </c>
      <c r="G13" s="8"/>
      <c r="H13" s="81"/>
      <c r="I13" s="84">
        <v>11</v>
      </c>
      <c r="J13" s="85">
        <v>0.08</v>
      </c>
      <c r="K13" s="85">
        <v>0.12</v>
      </c>
      <c r="L13" s="81"/>
      <c r="M13" s="84">
        <v>11</v>
      </c>
      <c r="N13" s="88">
        <v>0</v>
      </c>
      <c r="O13" s="85">
        <v>0.05</v>
      </c>
    </row>
    <row r="14" spans="2:17" x14ac:dyDescent="0.25">
      <c r="B14" t="s">
        <v>4</v>
      </c>
      <c r="C14" s="73">
        <f>VLOOKUP(B14,$H$3:$J$38,3,FALSE)</f>
        <v>0.18</v>
      </c>
      <c r="D14" s="8" t="s">
        <v>1</v>
      </c>
      <c r="E14" s="9">
        <f>(1+C14)^(1/12)-1</f>
        <v>1.3888430348409919E-2</v>
      </c>
      <c r="F14" s="8" t="s">
        <v>2</v>
      </c>
      <c r="G14" s="8"/>
      <c r="H14" s="81"/>
      <c r="I14" s="84">
        <v>12</v>
      </c>
      <c r="J14" s="85">
        <v>0.08</v>
      </c>
      <c r="K14" s="85">
        <v>0.12</v>
      </c>
      <c r="L14" s="81"/>
      <c r="M14" s="84">
        <v>12</v>
      </c>
      <c r="N14" s="88">
        <v>0</v>
      </c>
      <c r="O14" s="85">
        <v>0.05</v>
      </c>
    </row>
    <row r="15" spans="2:17" x14ac:dyDescent="0.25">
      <c r="C15" s="7"/>
      <c r="D15" s="8"/>
      <c r="E15" s="9"/>
      <c r="F15" s="8"/>
      <c r="G15" s="8"/>
      <c r="H15" s="81"/>
      <c r="I15" s="84">
        <v>13</v>
      </c>
      <c r="J15" s="85">
        <v>0.08</v>
      </c>
      <c r="K15" s="85">
        <v>0.12</v>
      </c>
      <c r="L15" s="81"/>
      <c r="M15" s="84">
        <v>13</v>
      </c>
      <c r="N15" s="88">
        <v>0</v>
      </c>
      <c r="O15" s="85">
        <v>0.05</v>
      </c>
    </row>
    <row r="16" spans="2:17" x14ac:dyDescent="0.25">
      <c r="B16" t="s">
        <v>73</v>
      </c>
      <c r="F16" s="8"/>
      <c r="G16" s="8"/>
      <c r="H16" s="81"/>
      <c r="I16" s="84">
        <v>14</v>
      </c>
      <c r="J16" s="85">
        <v>0.08</v>
      </c>
      <c r="K16" s="85">
        <v>0.12</v>
      </c>
      <c r="L16" s="81"/>
      <c r="M16" s="84">
        <v>14</v>
      </c>
      <c r="N16" s="88">
        <v>0</v>
      </c>
      <c r="O16" s="85">
        <v>0.05</v>
      </c>
    </row>
    <row r="17" spans="2:15" x14ac:dyDescent="0.25">
      <c r="B17" t="s">
        <v>3</v>
      </c>
      <c r="C17" s="73">
        <f>VLOOKUP(B17,$H$3:$K$38,4,FALSE)</f>
        <v>0.12</v>
      </c>
      <c r="D17" s="8" t="s">
        <v>1</v>
      </c>
      <c r="E17" s="9">
        <f>(1+C17)^(1/12)-1</f>
        <v>9.4887929345830457E-3</v>
      </c>
      <c r="F17" s="8" t="s">
        <v>2</v>
      </c>
      <c r="G17" s="8"/>
      <c r="H17" s="81"/>
      <c r="I17" s="84">
        <v>15</v>
      </c>
      <c r="J17" s="85">
        <v>0.08</v>
      </c>
      <c r="K17" s="85">
        <v>0.12</v>
      </c>
      <c r="L17" s="81"/>
      <c r="M17" s="84">
        <v>15</v>
      </c>
      <c r="N17" s="88">
        <v>0</v>
      </c>
      <c r="O17" s="85">
        <v>0.05</v>
      </c>
    </row>
    <row r="18" spans="2:15" x14ac:dyDescent="0.25">
      <c r="B18" t="s">
        <v>4</v>
      </c>
      <c r="C18" s="73">
        <f>VLOOKUP(B18,$H$3:$K$38,4,FALSE)</f>
        <v>0.04</v>
      </c>
      <c r="D18" s="8" t="s">
        <v>1</v>
      </c>
      <c r="E18" s="9">
        <f>(1+C18)^(1/12)-1</f>
        <v>3.2737397821989145E-3</v>
      </c>
      <c r="F18" s="8" t="s">
        <v>2</v>
      </c>
      <c r="G18" s="8"/>
      <c r="H18" s="81"/>
      <c r="I18" s="84">
        <v>16</v>
      </c>
      <c r="J18" s="85">
        <v>0.08</v>
      </c>
      <c r="K18" s="85">
        <v>0.12</v>
      </c>
      <c r="L18" s="81"/>
      <c r="M18" s="84">
        <v>16</v>
      </c>
      <c r="N18" s="88">
        <v>0</v>
      </c>
      <c r="O18" s="85">
        <v>0.05</v>
      </c>
    </row>
    <row r="19" spans="2:15" x14ac:dyDescent="0.25">
      <c r="H19" s="81"/>
      <c r="I19" s="84">
        <v>17</v>
      </c>
      <c r="J19" s="85">
        <v>0.08</v>
      </c>
      <c r="K19" s="85">
        <v>0.12</v>
      </c>
      <c r="L19" s="81"/>
      <c r="M19" s="84">
        <v>17</v>
      </c>
      <c r="N19" s="88">
        <v>0</v>
      </c>
      <c r="O19" s="85">
        <v>0.05</v>
      </c>
    </row>
    <row r="20" spans="2:15" x14ac:dyDescent="0.25">
      <c r="B20" t="s">
        <v>85</v>
      </c>
      <c r="C20" s="32">
        <v>11</v>
      </c>
      <c r="H20" s="81"/>
      <c r="I20" s="84">
        <v>18</v>
      </c>
      <c r="J20" s="85">
        <v>0.08</v>
      </c>
      <c r="K20" s="85">
        <v>0.12</v>
      </c>
      <c r="L20" s="81"/>
      <c r="M20" s="84">
        <v>18</v>
      </c>
      <c r="N20" s="88">
        <v>0</v>
      </c>
      <c r="O20" s="85">
        <v>0.05</v>
      </c>
    </row>
    <row r="21" spans="2:15" x14ac:dyDescent="0.25">
      <c r="H21" s="81" t="s">
        <v>4</v>
      </c>
      <c r="I21" s="86">
        <v>19</v>
      </c>
      <c r="J21" s="87">
        <v>0.18</v>
      </c>
      <c r="K21" s="87">
        <v>0.04</v>
      </c>
      <c r="L21" s="81" t="s">
        <v>4</v>
      </c>
      <c r="M21" s="86">
        <v>19</v>
      </c>
      <c r="N21" s="89">
        <v>0</v>
      </c>
      <c r="O21" s="85">
        <v>0.05</v>
      </c>
    </row>
    <row r="22" spans="2:15" x14ac:dyDescent="0.25">
      <c r="B22" t="s">
        <v>74</v>
      </c>
      <c r="F22" s="8"/>
      <c r="G22" s="8"/>
      <c r="H22" s="81"/>
      <c r="I22" s="86">
        <v>20</v>
      </c>
      <c r="J22" s="87">
        <v>0.18</v>
      </c>
      <c r="K22" s="87">
        <v>0.04</v>
      </c>
      <c r="L22" s="81"/>
      <c r="M22" s="86">
        <v>20</v>
      </c>
      <c r="N22" s="89">
        <v>0</v>
      </c>
      <c r="O22" s="85">
        <v>0.05</v>
      </c>
    </row>
    <row r="23" spans="2:15" x14ac:dyDescent="0.25">
      <c r="B23" t="s">
        <v>11</v>
      </c>
      <c r="C23" s="73">
        <f>O3</f>
        <v>0.05</v>
      </c>
      <c r="D23" s="8" t="s">
        <v>1</v>
      </c>
      <c r="E23" s="9">
        <f>(1+C23)^(1/12)-1</f>
        <v>4.0741237836483535E-3</v>
      </c>
      <c r="F23" s="8" t="s">
        <v>2</v>
      </c>
      <c r="G23" s="8"/>
      <c r="H23" s="81"/>
      <c r="I23" s="86">
        <v>21</v>
      </c>
      <c r="J23" s="87">
        <v>0.18</v>
      </c>
      <c r="K23" s="87">
        <v>0.04</v>
      </c>
      <c r="L23" s="81"/>
      <c r="M23" s="86">
        <v>21</v>
      </c>
      <c r="N23" s="89">
        <v>0</v>
      </c>
      <c r="O23" s="85">
        <v>0.05</v>
      </c>
    </row>
    <row r="24" spans="2:15" x14ac:dyDescent="0.25">
      <c r="H24" s="81"/>
      <c r="I24" s="86">
        <v>22</v>
      </c>
      <c r="J24" s="87">
        <v>0.18</v>
      </c>
      <c r="K24" s="87">
        <v>0.04</v>
      </c>
      <c r="L24" s="81"/>
      <c r="M24" s="86">
        <v>22</v>
      </c>
      <c r="N24" s="89">
        <v>0</v>
      </c>
      <c r="O24" s="85">
        <v>0.05</v>
      </c>
    </row>
    <row r="25" spans="2:15" x14ac:dyDescent="0.25">
      <c r="B25" t="s">
        <v>49</v>
      </c>
      <c r="C25" s="25">
        <v>50000</v>
      </c>
      <c r="D25" s="8" t="s">
        <v>80</v>
      </c>
      <c r="H25" s="81"/>
      <c r="I25" s="86">
        <v>23</v>
      </c>
      <c r="J25" s="87">
        <v>0.18</v>
      </c>
      <c r="K25" s="87">
        <v>0.04</v>
      </c>
      <c r="L25" s="81"/>
      <c r="M25" s="86">
        <v>23</v>
      </c>
      <c r="N25" s="89">
        <v>0</v>
      </c>
      <c r="O25" s="85">
        <v>0.05</v>
      </c>
    </row>
    <row r="26" spans="2:15" x14ac:dyDescent="0.25">
      <c r="B26" t="s">
        <v>50</v>
      </c>
      <c r="C26" s="25">
        <v>15000</v>
      </c>
      <c r="D26" s="8" t="s">
        <v>81</v>
      </c>
      <c r="H26" s="81"/>
      <c r="I26" s="86">
        <v>24</v>
      </c>
      <c r="J26" s="87">
        <v>0.18</v>
      </c>
      <c r="K26" s="87">
        <v>0.04</v>
      </c>
      <c r="L26" s="81"/>
      <c r="M26" s="86">
        <v>24</v>
      </c>
      <c r="N26" s="89">
        <v>0</v>
      </c>
      <c r="O26" s="85">
        <v>0.05</v>
      </c>
    </row>
    <row r="27" spans="2:15" x14ac:dyDescent="0.25">
      <c r="B27" t="s">
        <v>51</v>
      </c>
      <c r="C27" s="25">
        <v>105000</v>
      </c>
      <c r="D27" s="8" t="s">
        <v>79</v>
      </c>
      <c r="H27" s="81"/>
      <c r="I27" s="86">
        <v>25</v>
      </c>
      <c r="J27" s="87">
        <v>0.18</v>
      </c>
      <c r="K27" s="87">
        <v>0.04</v>
      </c>
      <c r="L27" s="81"/>
      <c r="M27" s="86">
        <v>25</v>
      </c>
      <c r="N27" s="89">
        <v>0</v>
      </c>
      <c r="O27" s="85">
        <v>0.05</v>
      </c>
    </row>
    <row r="28" spans="2:15" x14ac:dyDescent="0.25">
      <c r="H28" s="81"/>
      <c r="I28" s="86">
        <v>26</v>
      </c>
      <c r="J28" s="87">
        <v>0.18</v>
      </c>
      <c r="K28" s="87">
        <v>0.04</v>
      </c>
      <c r="L28" s="81"/>
      <c r="M28" s="86">
        <v>26</v>
      </c>
      <c r="N28" s="89">
        <v>0</v>
      </c>
      <c r="O28" s="85">
        <v>0.05</v>
      </c>
    </row>
    <row r="29" spans="2:15" x14ac:dyDescent="0.25">
      <c r="B29" s="14" t="s">
        <v>20</v>
      </c>
      <c r="H29" s="81"/>
      <c r="I29" s="86">
        <v>27</v>
      </c>
      <c r="J29" s="87">
        <v>0.18</v>
      </c>
      <c r="K29" s="87">
        <v>0.04</v>
      </c>
      <c r="L29" s="81"/>
      <c r="M29" s="86">
        <v>27</v>
      </c>
      <c r="N29" s="89">
        <v>0</v>
      </c>
      <c r="O29" s="85">
        <v>0.05</v>
      </c>
    </row>
    <row r="30" spans="2:15" x14ac:dyDescent="0.25">
      <c r="H30" s="81"/>
      <c r="I30" s="86">
        <v>28</v>
      </c>
      <c r="J30" s="87">
        <v>0.18</v>
      </c>
      <c r="K30" s="87">
        <v>0.04</v>
      </c>
      <c r="L30" s="81"/>
      <c r="M30" s="86">
        <v>28</v>
      </c>
      <c r="N30" s="89">
        <v>0</v>
      </c>
      <c r="O30" s="85">
        <v>0.05</v>
      </c>
    </row>
    <row r="31" spans="2:15" x14ac:dyDescent="0.25">
      <c r="B31" t="s">
        <v>52</v>
      </c>
      <c r="C31" s="32">
        <v>0</v>
      </c>
      <c r="D31" s="8" t="s">
        <v>83</v>
      </c>
      <c r="H31" s="81"/>
      <c r="I31" s="86">
        <v>29</v>
      </c>
      <c r="J31" s="87">
        <v>0.18</v>
      </c>
      <c r="K31" s="87">
        <v>0.04</v>
      </c>
      <c r="L31" s="81"/>
      <c r="M31" s="86">
        <v>29</v>
      </c>
      <c r="N31" s="89">
        <v>0</v>
      </c>
      <c r="O31" s="85">
        <v>0.05</v>
      </c>
    </row>
    <row r="32" spans="2:15" x14ac:dyDescent="0.25">
      <c r="H32" s="81"/>
      <c r="I32" s="86">
        <v>30</v>
      </c>
      <c r="J32" s="87">
        <v>0.18</v>
      </c>
      <c r="K32" s="87">
        <v>0.04</v>
      </c>
      <c r="L32" s="81"/>
      <c r="M32" s="86">
        <v>30</v>
      </c>
      <c r="N32" s="89">
        <v>0</v>
      </c>
      <c r="O32" s="85">
        <v>0.05</v>
      </c>
    </row>
    <row r="33" spans="2:15" x14ac:dyDescent="0.25">
      <c r="B33" s="14" t="s">
        <v>31</v>
      </c>
      <c r="H33" s="81"/>
      <c r="I33" s="86">
        <v>31</v>
      </c>
      <c r="J33" s="87">
        <v>0.18</v>
      </c>
      <c r="K33" s="87">
        <v>0.04</v>
      </c>
      <c r="L33" s="81"/>
      <c r="M33" s="86">
        <v>31</v>
      </c>
      <c r="N33" s="89">
        <v>0</v>
      </c>
      <c r="O33" s="85">
        <v>0.05</v>
      </c>
    </row>
    <row r="34" spans="2:15" x14ac:dyDescent="0.25">
      <c r="H34" s="81"/>
      <c r="I34" s="86">
        <v>32</v>
      </c>
      <c r="J34" s="87">
        <v>0.18</v>
      </c>
      <c r="K34" s="87">
        <v>0.04</v>
      </c>
      <c r="L34" s="81"/>
      <c r="M34" s="86">
        <v>32</v>
      </c>
      <c r="N34" s="89">
        <v>0</v>
      </c>
      <c r="O34" s="85">
        <v>0.05</v>
      </c>
    </row>
    <row r="35" spans="2:15" x14ac:dyDescent="0.25">
      <c r="B35" t="s">
        <v>52</v>
      </c>
      <c r="C35" s="32">
        <v>2.6842105263157738</v>
      </c>
      <c r="D35" t="s">
        <v>84</v>
      </c>
      <c r="H35" s="81"/>
      <c r="I35" s="86">
        <v>33</v>
      </c>
      <c r="J35" s="87">
        <v>0.18</v>
      </c>
      <c r="K35" s="87">
        <v>0.04</v>
      </c>
      <c r="L35" s="81"/>
      <c r="M35" s="86">
        <v>33</v>
      </c>
      <c r="N35" s="89">
        <v>0</v>
      </c>
      <c r="O35" s="85">
        <v>0.05</v>
      </c>
    </row>
    <row r="36" spans="2:15" x14ac:dyDescent="0.25">
      <c r="H36" s="81"/>
      <c r="I36" s="86">
        <v>34</v>
      </c>
      <c r="J36" s="87">
        <v>0.18</v>
      </c>
      <c r="K36" s="87">
        <v>0.04</v>
      </c>
      <c r="L36" s="81"/>
      <c r="M36" s="86">
        <v>34</v>
      </c>
      <c r="N36" s="89">
        <v>0</v>
      </c>
      <c r="O36" s="85">
        <v>0.05</v>
      </c>
    </row>
    <row r="37" spans="2:15" x14ac:dyDescent="0.25">
      <c r="H37" s="81"/>
      <c r="I37" s="86">
        <v>35</v>
      </c>
      <c r="J37" s="87">
        <v>0.18</v>
      </c>
      <c r="K37" s="87">
        <v>0.04</v>
      </c>
      <c r="L37" s="81"/>
      <c r="M37" s="86">
        <v>35</v>
      </c>
      <c r="N37" s="89">
        <v>0</v>
      </c>
      <c r="O37" s="85">
        <v>0.05</v>
      </c>
    </row>
    <row r="38" spans="2:15" x14ac:dyDescent="0.25">
      <c r="H38" s="81"/>
      <c r="I38" s="86">
        <v>36</v>
      </c>
      <c r="J38" s="87">
        <v>0.18</v>
      </c>
      <c r="K38" s="87">
        <v>0.04</v>
      </c>
      <c r="L38" s="81"/>
      <c r="M38" s="86">
        <v>36</v>
      </c>
      <c r="N38" s="89">
        <v>0</v>
      </c>
      <c r="O38" s="85">
        <v>0.05</v>
      </c>
    </row>
  </sheetData>
  <mergeCells count="6">
    <mergeCell ref="I1:K1"/>
    <mergeCell ref="M1:O1"/>
    <mergeCell ref="H3:H20"/>
    <mergeCell ref="H21:H38"/>
    <mergeCell ref="L3:L20"/>
    <mergeCell ref="L21:L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M63"/>
  <sheetViews>
    <sheetView showGridLines="0" zoomScale="85" zoomScaleNormal="85" workbookViewId="0">
      <pane xSplit="2" ySplit="5" topLeftCell="C6" activePane="bottomRight" state="frozen"/>
      <selection pane="topRight" activeCell="C1" sqref="C1"/>
      <selection pane="bottomLeft" activeCell="A6" sqref="A6"/>
      <selection pane="bottomRight" activeCell="R6" sqref="R6"/>
    </sheetView>
  </sheetViews>
  <sheetFormatPr defaultRowHeight="15" x14ac:dyDescent="0.25"/>
  <cols>
    <col min="4" max="4" width="10.5703125" customWidth="1"/>
    <col min="5" max="5" width="13.140625" customWidth="1"/>
    <col min="6" max="6" width="13" customWidth="1"/>
    <col min="7" max="9" width="9.5703125" bestFit="1" customWidth="1"/>
    <col min="10" max="10" width="12" customWidth="1"/>
    <col min="11" max="11" width="13.42578125" customWidth="1"/>
    <col min="12" max="12" width="13" customWidth="1"/>
    <col min="15" max="15" width="10.28515625" customWidth="1"/>
    <col min="16" max="16" width="10.42578125" customWidth="1"/>
    <col min="20" max="20" width="11" customWidth="1"/>
    <col min="21" max="21" width="10" customWidth="1"/>
    <col min="22" max="22" width="12.42578125" customWidth="1"/>
    <col min="24" max="24" width="13.42578125" customWidth="1"/>
    <col min="26" max="26" width="10.42578125" customWidth="1"/>
    <col min="27" max="27" width="12.140625" customWidth="1"/>
    <col min="28" max="28" width="13.140625" customWidth="1"/>
    <col min="29" max="29" width="14.140625" customWidth="1"/>
    <col min="30" max="30" width="11.7109375" customWidth="1"/>
    <col min="31" max="33" width="10.42578125" customWidth="1"/>
    <col min="34" max="34" width="9.140625" style="12"/>
    <col min="36" max="36" width="12.140625" customWidth="1"/>
    <col min="37" max="37" width="14.28515625" customWidth="1"/>
    <col min="38" max="38" width="13.42578125" bestFit="1" customWidth="1"/>
    <col min="39" max="39" width="14.28515625" bestFit="1" customWidth="1"/>
  </cols>
  <sheetData>
    <row r="4" spans="2:39" x14ac:dyDescent="0.25">
      <c r="B4" s="82" t="s">
        <v>53</v>
      </c>
      <c r="C4" s="82"/>
      <c r="D4" s="82"/>
      <c r="E4" s="82"/>
      <c r="F4" s="82"/>
      <c r="G4" s="82"/>
      <c r="H4" s="82"/>
      <c r="I4" s="82"/>
      <c r="J4" s="82"/>
      <c r="K4" s="82"/>
      <c r="N4" s="82" t="s">
        <v>54</v>
      </c>
      <c r="O4" s="82"/>
      <c r="P4" s="82"/>
      <c r="Q4" s="82"/>
      <c r="R4" s="82"/>
      <c r="S4" s="82"/>
      <c r="T4" s="82"/>
      <c r="U4" s="82"/>
      <c r="V4" s="82"/>
      <c r="W4" s="82"/>
      <c r="Z4" s="82" t="s">
        <v>7</v>
      </c>
      <c r="AA4" s="82"/>
      <c r="AB4" s="82"/>
      <c r="AC4" s="82"/>
      <c r="AD4" s="82"/>
      <c r="AE4" s="82"/>
      <c r="AF4" s="82"/>
      <c r="AG4" s="82"/>
      <c r="AJ4" s="82" t="s">
        <v>28</v>
      </c>
      <c r="AK4" s="82"/>
      <c r="AL4" s="82"/>
      <c r="AM4" s="82"/>
    </row>
    <row r="5" spans="2:39" s="2" customFormat="1" ht="75" x14ac:dyDescent="0.25">
      <c r="B5" s="5" t="s">
        <v>0</v>
      </c>
      <c r="C5" s="5" t="s">
        <v>5</v>
      </c>
      <c r="D5" s="5" t="s">
        <v>55</v>
      </c>
      <c r="E5" s="5" t="s">
        <v>56</v>
      </c>
      <c r="F5" s="5" t="s">
        <v>57</v>
      </c>
      <c r="G5" s="54" t="s">
        <v>58</v>
      </c>
      <c r="H5" s="5" t="s">
        <v>59</v>
      </c>
      <c r="I5" s="5" t="s">
        <v>60</v>
      </c>
      <c r="J5" s="5" t="s">
        <v>41</v>
      </c>
      <c r="K5" s="5" t="s">
        <v>42</v>
      </c>
      <c r="L5" s="11" t="s">
        <v>6</v>
      </c>
      <c r="N5" s="5" t="s">
        <v>0</v>
      </c>
      <c r="O5" s="5" t="s">
        <v>43</v>
      </c>
      <c r="P5" s="5" t="s">
        <v>55</v>
      </c>
      <c r="Q5" s="5" t="s">
        <v>56</v>
      </c>
      <c r="R5" s="5" t="s">
        <v>57</v>
      </c>
      <c r="S5" s="54" t="s">
        <v>58</v>
      </c>
      <c r="T5" s="5" t="s">
        <v>59</v>
      </c>
      <c r="U5" s="5" t="s">
        <v>60</v>
      </c>
      <c r="V5" s="5" t="s">
        <v>41</v>
      </c>
      <c r="W5" s="5" t="s">
        <v>42</v>
      </c>
      <c r="X5" s="11" t="s">
        <v>6</v>
      </c>
      <c r="Z5" s="5" t="s">
        <v>0</v>
      </c>
      <c r="AA5" s="20" t="s">
        <v>64</v>
      </c>
      <c r="AB5" s="20" t="s">
        <v>65</v>
      </c>
      <c r="AC5" s="20" t="s">
        <v>66</v>
      </c>
      <c r="AD5" s="20" t="s">
        <v>67</v>
      </c>
      <c r="AE5" s="20" t="s">
        <v>68</v>
      </c>
      <c r="AF5" s="20" t="s">
        <v>69</v>
      </c>
      <c r="AG5" s="20" t="s">
        <v>44</v>
      </c>
      <c r="AH5" s="11" t="s">
        <v>13</v>
      </c>
      <c r="AJ5" s="20" t="s">
        <v>29</v>
      </c>
      <c r="AK5" s="20" t="s">
        <v>30</v>
      </c>
      <c r="AL5" s="20" t="s">
        <v>14</v>
      </c>
      <c r="AM5" s="20" t="s">
        <v>15</v>
      </c>
    </row>
    <row r="6" spans="2:39" x14ac:dyDescent="0.25">
      <c r="B6" s="6">
        <v>1</v>
      </c>
      <c r="C6" s="10">
        <f>IF(B6&lt;=Parameters!$C$9,1,2)</f>
        <v>1</v>
      </c>
      <c r="D6" s="39">
        <f>Parameters!$C$5</f>
        <v>2000</v>
      </c>
      <c r="E6" s="26">
        <f>ROUND(D6*IF(C6=1,Parameters!$E$13,Parameters!$E$14),0)</f>
        <v>13</v>
      </c>
      <c r="F6" s="26">
        <f>ROUND((E6+D6)*IF(C6=1,Parameters!$E$17,Parameters!$E$18),0)</f>
        <v>19</v>
      </c>
      <c r="G6" s="26">
        <f>D6+E6-F6</f>
        <v>1994</v>
      </c>
      <c r="H6" s="26">
        <f>D6</f>
        <v>2000</v>
      </c>
      <c r="I6" s="26">
        <f>G6</f>
        <v>1994</v>
      </c>
      <c r="J6" s="26">
        <f>IF(H6&gt;I6,H6-I6,0)</f>
        <v>6</v>
      </c>
      <c r="K6" s="26">
        <f>IF(I6&gt;H6,I6-H6,0)</f>
        <v>0</v>
      </c>
      <c r="L6" s="12" t="b">
        <f>J6*K6=0</f>
        <v>1</v>
      </c>
      <c r="N6" s="10">
        <f>B6</f>
        <v>1</v>
      </c>
      <c r="O6" s="10">
        <f>IF(N6&lt;=Parameters!$C$10,1,0)</f>
        <v>1</v>
      </c>
      <c r="P6" s="6">
        <f>Parameters!C6</f>
        <v>200</v>
      </c>
      <c r="Q6" s="4">
        <f>Parameters!$C$20*O6</f>
        <v>11</v>
      </c>
      <c r="R6" s="4">
        <f>ROUND((Q6+P6)*Parameters!$E$23,0)</f>
        <v>1</v>
      </c>
      <c r="S6" s="3">
        <f>P6+Q6-R6</f>
        <v>210</v>
      </c>
      <c r="T6" s="3">
        <f>P6</f>
        <v>200</v>
      </c>
      <c r="U6" s="3">
        <f>S6</f>
        <v>210</v>
      </c>
      <c r="V6" s="19">
        <f>IF(T6&gt;U6,T6-U6,0)</f>
        <v>0</v>
      </c>
      <c r="W6" s="19">
        <f>IF(U6&gt;T6,U6-T6,0)</f>
        <v>10</v>
      </c>
      <c r="X6" s="12" t="b">
        <f>V6*W6=0</f>
        <v>1</v>
      </c>
      <c r="Z6" s="3">
        <f>N6</f>
        <v>1</v>
      </c>
      <c r="AA6" s="27">
        <f>Parameters!$C$7</f>
        <v>2500</v>
      </c>
      <c r="AB6" s="26">
        <f>D6</f>
        <v>2000</v>
      </c>
      <c r="AC6" s="26">
        <f>P6</f>
        <v>200</v>
      </c>
      <c r="AD6" s="26">
        <f>AA6-AB6-AC6</f>
        <v>300</v>
      </c>
      <c r="AE6" s="26">
        <f>J6+V6</f>
        <v>6</v>
      </c>
      <c r="AF6" s="26">
        <f t="shared" ref="AF6:AF41" si="0">K6+W6</f>
        <v>10</v>
      </c>
      <c r="AG6" s="26">
        <f>AD6+AE6-AF6</f>
        <v>296</v>
      </c>
      <c r="AH6" s="28">
        <f>AA6-G6-S6-AG6</f>
        <v>0</v>
      </c>
      <c r="AJ6" s="26">
        <f>IF(AG6&gt;=0,AF6*Parameters!$C$25,MAX(AD6+AE6,0)*Parameters!$C$25)</f>
        <v>500000</v>
      </c>
      <c r="AK6" s="26">
        <f>IF(AG6&lt;0,-AG6*Parameters!$C$27,0)</f>
        <v>0</v>
      </c>
      <c r="AL6" s="26">
        <f>MAX(AG6,0)*Parameters!$C$26</f>
        <v>4440000</v>
      </c>
      <c r="AM6" s="29">
        <f t="shared" ref="AM6:AM41" si="1">SUM(AJ6:AL6)</f>
        <v>4940000</v>
      </c>
    </row>
    <row r="7" spans="2:39" x14ac:dyDescent="0.25">
      <c r="B7" s="3">
        <f>B6+1</f>
        <v>2</v>
      </c>
      <c r="C7" s="3">
        <f>IF(B7&lt;=Parameters!$C$9,1,2)</f>
        <v>1</v>
      </c>
      <c r="D7" s="26">
        <f>G6</f>
        <v>1994</v>
      </c>
      <c r="E7" s="26">
        <f>ROUND(D7*IF(C7=1,Parameters!$E$13,Parameters!$E$14),0)</f>
        <v>13</v>
      </c>
      <c r="F7" s="26">
        <f>ROUND((E7+D7)*IF(C7=1,Parameters!$E$17,Parameters!$E$18),0)</f>
        <v>19</v>
      </c>
      <c r="G7" s="26">
        <f t="shared" ref="G7:G41" si="2">D7+E7-F7</f>
        <v>1988</v>
      </c>
      <c r="H7" s="26">
        <f t="shared" ref="H7:H41" si="3">D7</f>
        <v>1994</v>
      </c>
      <c r="I7" s="26">
        <f t="shared" ref="I7:I41" si="4">G7</f>
        <v>1988</v>
      </c>
      <c r="J7" s="26">
        <f t="shared" ref="J7:J41" si="5">IF(H7&gt;I7,H7-I7,0)</f>
        <v>6</v>
      </c>
      <c r="K7" s="26">
        <f t="shared" ref="K7:K41" si="6">IF(I7&gt;H7,I7-H7,0)</f>
        <v>0</v>
      </c>
      <c r="L7" s="12" t="b">
        <f t="shared" ref="L7:L41" si="7">J7*K7=0</f>
        <v>1</v>
      </c>
      <c r="N7" s="3">
        <f t="shared" ref="N7:N41" si="8">B7</f>
        <v>2</v>
      </c>
      <c r="O7" s="10">
        <f>IF(N7&lt;=Parameters!$C$10,1,0)</f>
        <v>1</v>
      </c>
      <c r="P7" s="3">
        <f>S6</f>
        <v>210</v>
      </c>
      <c r="Q7" s="4">
        <f>Parameters!$C$20*O7</f>
        <v>11</v>
      </c>
      <c r="R7" s="4">
        <f>ROUND((Q7+P7)*Parameters!$E$23,0)</f>
        <v>1</v>
      </c>
      <c r="S7" s="3">
        <f t="shared" ref="S7:S41" si="9">P7+Q7-R7</f>
        <v>220</v>
      </c>
      <c r="T7" s="3">
        <f t="shared" ref="T7:T41" si="10">P7</f>
        <v>210</v>
      </c>
      <c r="U7" s="3">
        <f t="shared" ref="U7:U41" si="11">S7</f>
        <v>220</v>
      </c>
      <c r="V7" s="19">
        <f t="shared" ref="V7:V41" si="12">IF(T7&gt;U7,T7-U7,0)</f>
        <v>0</v>
      </c>
      <c r="W7" s="19">
        <f t="shared" ref="W7:W41" si="13">IF(U7&gt;T7,U7-T7,0)</f>
        <v>10</v>
      </c>
      <c r="X7" s="12" t="b">
        <f t="shared" ref="X7:X41" si="14">V7*W7=0</f>
        <v>1</v>
      </c>
      <c r="Z7" s="3">
        <f t="shared" ref="Z7:Z41" si="15">N7</f>
        <v>2</v>
      </c>
      <c r="AA7" s="27">
        <f>Parameters!$C$7</f>
        <v>2500</v>
      </c>
      <c r="AB7" s="26">
        <f t="shared" ref="AB7:AB41" si="16">D7</f>
        <v>1994</v>
      </c>
      <c r="AC7" s="26">
        <f t="shared" ref="AC7:AC41" si="17">P7</f>
        <v>210</v>
      </c>
      <c r="AD7" s="26">
        <f t="shared" ref="AD7:AD41" si="18">AA7-AB7-AC7</f>
        <v>296</v>
      </c>
      <c r="AE7" s="26">
        <f t="shared" ref="AE7:AE41" si="19">J7+V7</f>
        <v>6</v>
      </c>
      <c r="AF7" s="26">
        <f t="shared" si="0"/>
        <v>10</v>
      </c>
      <c r="AG7" s="26">
        <f t="shared" ref="AG7:AG41" si="20">AD7+AE7-AF7</f>
        <v>292</v>
      </c>
      <c r="AH7" s="28">
        <f t="shared" ref="AH7:AH41" si="21">AA7-G7-S7-AG7</f>
        <v>0</v>
      </c>
      <c r="AJ7" s="26">
        <f>IF(AG7&gt;=0,AF7*Parameters!$C$25,MAX(AD7+AE7,0)*Parameters!$C$25)</f>
        <v>500000</v>
      </c>
      <c r="AK7" s="26">
        <f>IF(AG7&lt;0,-AG7*Parameters!$C$27,0)</f>
        <v>0</v>
      </c>
      <c r="AL7" s="26">
        <f>MAX(AG7,0)*Parameters!$C$26</f>
        <v>4380000</v>
      </c>
      <c r="AM7" s="29">
        <f t="shared" si="1"/>
        <v>4880000</v>
      </c>
    </row>
    <row r="8" spans="2:39" x14ac:dyDescent="0.25">
      <c r="B8" s="3">
        <f t="shared" ref="B8:B41" si="22">B7+1</f>
        <v>3</v>
      </c>
      <c r="C8" s="3">
        <f>IF(B8&lt;=Parameters!$C$9,1,2)</f>
        <v>1</v>
      </c>
      <c r="D8" s="26">
        <f t="shared" ref="D8:D41" si="23">G7</f>
        <v>1988</v>
      </c>
      <c r="E8" s="26">
        <f>ROUND(D8*IF(C8=1,Parameters!$E$13,Parameters!$E$14),0)</f>
        <v>13</v>
      </c>
      <c r="F8" s="26">
        <f>ROUND((E8+D8)*IF(C8=1,Parameters!$E$17,Parameters!$E$18),0)</f>
        <v>19</v>
      </c>
      <c r="G8" s="26">
        <f t="shared" si="2"/>
        <v>1982</v>
      </c>
      <c r="H8" s="26">
        <f t="shared" si="3"/>
        <v>1988</v>
      </c>
      <c r="I8" s="26">
        <f t="shared" si="4"/>
        <v>1982</v>
      </c>
      <c r="J8" s="26">
        <f t="shared" si="5"/>
        <v>6</v>
      </c>
      <c r="K8" s="26">
        <f t="shared" si="6"/>
        <v>0</v>
      </c>
      <c r="L8" s="12" t="b">
        <f t="shared" si="7"/>
        <v>1</v>
      </c>
      <c r="N8" s="3">
        <f t="shared" si="8"/>
        <v>3</v>
      </c>
      <c r="O8" s="10">
        <f>IF(N8&lt;=Parameters!$C$10,1,0)</f>
        <v>1</v>
      </c>
      <c r="P8" s="3">
        <f t="shared" ref="P8:P41" si="24">S7</f>
        <v>220</v>
      </c>
      <c r="Q8" s="4">
        <f>Parameters!$C$20*O8</f>
        <v>11</v>
      </c>
      <c r="R8" s="4">
        <f>ROUND((Q8+P8)*Parameters!$E$23,0)</f>
        <v>1</v>
      </c>
      <c r="S8" s="3">
        <f t="shared" si="9"/>
        <v>230</v>
      </c>
      <c r="T8" s="3">
        <f t="shared" si="10"/>
        <v>220</v>
      </c>
      <c r="U8" s="3">
        <f t="shared" si="11"/>
        <v>230</v>
      </c>
      <c r="V8" s="19">
        <f t="shared" si="12"/>
        <v>0</v>
      </c>
      <c r="W8" s="19">
        <f t="shared" si="13"/>
        <v>10</v>
      </c>
      <c r="X8" s="12" t="b">
        <f t="shared" si="14"/>
        <v>1</v>
      </c>
      <c r="Z8" s="3">
        <f t="shared" si="15"/>
        <v>3</v>
      </c>
      <c r="AA8" s="27">
        <f>Parameters!$C$7</f>
        <v>2500</v>
      </c>
      <c r="AB8" s="26">
        <f t="shared" si="16"/>
        <v>1988</v>
      </c>
      <c r="AC8" s="26">
        <f t="shared" si="17"/>
        <v>220</v>
      </c>
      <c r="AD8" s="26">
        <f t="shared" si="18"/>
        <v>292</v>
      </c>
      <c r="AE8" s="26">
        <f t="shared" si="19"/>
        <v>6</v>
      </c>
      <c r="AF8" s="26">
        <f t="shared" si="0"/>
        <v>10</v>
      </c>
      <c r="AG8" s="26">
        <f t="shared" si="20"/>
        <v>288</v>
      </c>
      <c r="AH8" s="28">
        <f t="shared" si="21"/>
        <v>0</v>
      </c>
      <c r="AJ8" s="26">
        <f>IF(AG8&gt;=0,AF8*Parameters!$C$25,MAX(AD8+AE8,0)*Parameters!$C$25)</f>
        <v>500000</v>
      </c>
      <c r="AK8" s="26">
        <f>IF(AG8&lt;0,-AG8*Parameters!$C$27,0)</f>
        <v>0</v>
      </c>
      <c r="AL8" s="26">
        <f>MAX(AG8,0)*Parameters!$C$26</f>
        <v>4320000</v>
      </c>
      <c r="AM8" s="29">
        <f t="shared" si="1"/>
        <v>4820000</v>
      </c>
    </row>
    <row r="9" spans="2:39" x14ac:dyDescent="0.25">
      <c r="B9" s="3">
        <f t="shared" si="22"/>
        <v>4</v>
      </c>
      <c r="C9" s="3">
        <f>IF(B9&lt;=Parameters!$C$9,1,2)</f>
        <v>1</v>
      </c>
      <c r="D9" s="26">
        <f t="shared" si="23"/>
        <v>1982</v>
      </c>
      <c r="E9" s="26">
        <f>ROUND(D9*IF(C9=1,Parameters!$E$13,Parameters!$E$14),0)</f>
        <v>13</v>
      </c>
      <c r="F9" s="26">
        <f>ROUND((E9+D9)*IF(C9=1,Parameters!$E$17,Parameters!$E$18),0)</f>
        <v>19</v>
      </c>
      <c r="G9" s="26">
        <f t="shared" si="2"/>
        <v>1976</v>
      </c>
      <c r="H9" s="26">
        <f t="shared" si="3"/>
        <v>1982</v>
      </c>
      <c r="I9" s="26">
        <f t="shared" si="4"/>
        <v>1976</v>
      </c>
      <c r="J9" s="26">
        <f t="shared" si="5"/>
        <v>6</v>
      </c>
      <c r="K9" s="26">
        <f t="shared" si="6"/>
        <v>0</v>
      </c>
      <c r="L9" s="12" t="b">
        <f t="shared" si="7"/>
        <v>1</v>
      </c>
      <c r="N9" s="3">
        <f t="shared" si="8"/>
        <v>4</v>
      </c>
      <c r="O9" s="10">
        <f>IF(N9&lt;=Parameters!$C$10,1,0)</f>
        <v>1</v>
      </c>
      <c r="P9" s="3">
        <f t="shared" si="24"/>
        <v>230</v>
      </c>
      <c r="Q9" s="4">
        <f>Parameters!$C$20*O9</f>
        <v>11</v>
      </c>
      <c r="R9" s="4">
        <f>ROUND((Q9+P9)*Parameters!$E$23,0)</f>
        <v>1</v>
      </c>
      <c r="S9" s="3">
        <f t="shared" si="9"/>
        <v>240</v>
      </c>
      <c r="T9" s="3">
        <f t="shared" si="10"/>
        <v>230</v>
      </c>
      <c r="U9" s="3">
        <f t="shared" si="11"/>
        <v>240</v>
      </c>
      <c r="V9" s="19">
        <f t="shared" si="12"/>
        <v>0</v>
      </c>
      <c r="W9" s="19">
        <f t="shared" si="13"/>
        <v>10</v>
      </c>
      <c r="X9" s="12" t="b">
        <f t="shared" si="14"/>
        <v>1</v>
      </c>
      <c r="Z9" s="3">
        <f t="shared" si="15"/>
        <v>4</v>
      </c>
      <c r="AA9" s="27">
        <f>Parameters!$C$7</f>
        <v>2500</v>
      </c>
      <c r="AB9" s="26">
        <f t="shared" si="16"/>
        <v>1982</v>
      </c>
      <c r="AC9" s="26">
        <f t="shared" si="17"/>
        <v>230</v>
      </c>
      <c r="AD9" s="26">
        <f t="shared" si="18"/>
        <v>288</v>
      </c>
      <c r="AE9" s="26">
        <f t="shared" si="19"/>
        <v>6</v>
      </c>
      <c r="AF9" s="26">
        <f t="shared" si="0"/>
        <v>10</v>
      </c>
      <c r="AG9" s="26">
        <f t="shared" si="20"/>
        <v>284</v>
      </c>
      <c r="AH9" s="28">
        <f t="shared" si="21"/>
        <v>0</v>
      </c>
      <c r="AJ9" s="26">
        <f>IF(AG9&gt;=0,AF9*Parameters!$C$25,MAX(AD9+AE9,0)*Parameters!$C$25)</f>
        <v>500000</v>
      </c>
      <c r="AK9" s="26">
        <f>IF(AG9&lt;0,-AG9*Parameters!$C$27,0)</f>
        <v>0</v>
      </c>
      <c r="AL9" s="26">
        <f>MAX(AG9,0)*Parameters!$C$26</f>
        <v>4260000</v>
      </c>
      <c r="AM9" s="29">
        <f t="shared" si="1"/>
        <v>4760000</v>
      </c>
    </row>
    <row r="10" spans="2:39" x14ac:dyDescent="0.25">
      <c r="B10" s="3">
        <f t="shared" si="22"/>
        <v>5</v>
      </c>
      <c r="C10" s="3">
        <f>IF(B10&lt;=Parameters!$C$9,1,2)</f>
        <v>1</v>
      </c>
      <c r="D10" s="26">
        <f t="shared" si="23"/>
        <v>1976</v>
      </c>
      <c r="E10" s="26">
        <f>ROUND(D10*IF(C10=1,Parameters!$E$13,Parameters!$E$14),0)</f>
        <v>13</v>
      </c>
      <c r="F10" s="26">
        <f>ROUND((E10+D10)*IF(C10=1,Parameters!$E$17,Parameters!$E$18),0)</f>
        <v>19</v>
      </c>
      <c r="G10" s="26">
        <f t="shared" si="2"/>
        <v>1970</v>
      </c>
      <c r="H10" s="26">
        <f t="shared" si="3"/>
        <v>1976</v>
      </c>
      <c r="I10" s="26">
        <f t="shared" si="4"/>
        <v>1970</v>
      </c>
      <c r="J10" s="26">
        <f t="shared" si="5"/>
        <v>6</v>
      </c>
      <c r="K10" s="26">
        <f t="shared" si="6"/>
        <v>0</v>
      </c>
      <c r="L10" s="12" t="b">
        <f t="shared" si="7"/>
        <v>1</v>
      </c>
      <c r="N10" s="3">
        <f t="shared" si="8"/>
        <v>5</v>
      </c>
      <c r="O10" s="10">
        <f>IF(N10&lt;=Parameters!$C$10,1,0)</f>
        <v>1</v>
      </c>
      <c r="P10" s="3">
        <f t="shared" si="24"/>
        <v>240</v>
      </c>
      <c r="Q10" s="4">
        <f>Parameters!$C$20*O10</f>
        <v>11</v>
      </c>
      <c r="R10" s="4">
        <f>ROUND((Q10+P10)*Parameters!$E$23,0)</f>
        <v>1</v>
      </c>
      <c r="S10" s="3">
        <f t="shared" si="9"/>
        <v>250</v>
      </c>
      <c r="T10" s="3">
        <f t="shared" si="10"/>
        <v>240</v>
      </c>
      <c r="U10" s="3">
        <f t="shared" si="11"/>
        <v>250</v>
      </c>
      <c r="V10" s="19">
        <f t="shared" si="12"/>
        <v>0</v>
      </c>
      <c r="W10" s="19">
        <f t="shared" si="13"/>
        <v>10</v>
      </c>
      <c r="X10" s="12" t="b">
        <f t="shared" si="14"/>
        <v>1</v>
      </c>
      <c r="Z10" s="3">
        <f t="shared" si="15"/>
        <v>5</v>
      </c>
      <c r="AA10" s="27">
        <f>Parameters!$C$7</f>
        <v>2500</v>
      </c>
      <c r="AB10" s="26">
        <f t="shared" si="16"/>
        <v>1976</v>
      </c>
      <c r="AC10" s="26">
        <f t="shared" si="17"/>
        <v>240</v>
      </c>
      <c r="AD10" s="26">
        <f t="shared" si="18"/>
        <v>284</v>
      </c>
      <c r="AE10" s="26">
        <f t="shared" si="19"/>
        <v>6</v>
      </c>
      <c r="AF10" s="26">
        <f t="shared" si="0"/>
        <v>10</v>
      </c>
      <c r="AG10" s="26">
        <f t="shared" si="20"/>
        <v>280</v>
      </c>
      <c r="AH10" s="28">
        <f t="shared" si="21"/>
        <v>0</v>
      </c>
      <c r="AJ10" s="26">
        <f>IF(AG10&gt;=0,AF10*Parameters!$C$25,MAX(AD10+AE10,0)*Parameters!$C$25)</f>
        <v>500000</v>
      </c>
      <c r="AK10" s="26">
        <f>IF(AG10&lt;0,-AG10*Parameters!$C$27,0)</f>
        <v>0</v>
      </c>
      <c r="AL10" s="26">
        <f>MAX(AG10,0)*Parameters!$C$26</f>
        <v>4200000</v>
      </c>
      <c r="AM10" s="29">
        <f t="shared" si="1"/>
        <v>4700000</v>
      </c>
    </row>
    <row r="11" spans="2:39" x14ac:dyDescent="0.25">
      <c r="B11" s="3">
        <f t="shared" si="22"/>
        <v>6</v>
      </c>
      <c r="C11" s="3">
        <f>IF(B11&lt;=Parameters!$C$9,1,2)</f>
        <v>1</v>
      </c>
      <c r="D11" s="26">
        <f t="shared" si="23"/>
        <v>1970</v>
      </c>
      <c r="E11" s="26">
        <f>ROUND(D11*IF(C11=1,Parameters!$E$13,Parameters!$E$14),0)</f>
        <v>13</v>
      </c>
      <c r="F11" s="26">
        <f>ROUND((E11+D11)*IF(C11=1,Parameters!$E$17,Parameters!$E$18),0)</f>
        <v>19</v>
      </c>
      <c r="G11" s="26">
        <f t="shared" si="2"/>
        <v>1964</v>
      </c>
      <c r="H11" s="26">
        <f t="shared" si="3"/>
        <v>1970</v>
      </c>
      <c r="I11" s="26">
        <f t="shared" si="4"/>
        <v>1964</v>
      </c>
      <c r="J11" s="26">
        <f t="shared" si="5"/>
        <v>6</v>
      </c>
      <c r="K11" s="26">
        <f t="shared" si="6"/>
        <v>0</v>
      </c>
      <c r="L11" s="12" t="b">
        <f t="shared" si="7"/>
        <v>1</v>
      </c>
      <c r="N11" s="3">
        <f t="shared" si="8"/>
        <v>6</v>
      </c>
      <c r="O11" s="10">
        <f>IF(N11&lt;=Parameters!$C$10,1,0)</f>
        <v>1</v>
      </c>
      <c r="P11" s="3">
        <f t="shared" si="24"/>
        <v>250</v>
      </c>
      <c r="Q11" s="4">
        <f>Parameters!$C$20*O11</f>
        <v>11</v>
      </c>
      <c r="R11" s="4">
        <f>ROUND((Q11+P11)*Parameters!$E$23,0)</f>
        <v>1</v>
      </c>
      <c r="S11" s="3">
        <f t="shared" si="9"/>
        <v>260</v>
      </c>
      <c r="T11" s="3">
        <f t="shared" si="10"/>
        <v>250</v>
      </c>
      <c r="U11" s="3">
        <f t="shared" si="11"/>
        <v>260</v>
      </c>
      <c r="V11" s="19">
        <f t="shared" si="12"/>
        <v>0</v>
      </c>
      <c r="W11" s="19">
        <f t="shared" si="13"/>
        <v>10</v>
      </c>
      <c r="X11" s="12" t="b">
        <f t="shared" si="14"/>
        <v>1</v>
      </c>
      <c r="Z11" s="3">
        <f t="shared" si="15"/>
        <v>6</v>
      </c>
      <c r="AA11" s="27">
        <f>Parameters!$C$7</f>
        <v>2500</v>
      </c>
      <c r="AB11" s="26">
        <f t="shared" si="16"/>
        <v>1970</v>
      </c>
      <c r="AC11" s="26">
        <f t="shared" si="17"/>
        <v>250</v>
      </c>
      <c r="AD11" s="26">
        <f t="shared" si="18"/>
        <v>280</v>
      </c>
      <c r="AE11" s="26">
        <f t="shared" si="19"/>
        <v>6</v>
      </c>
      <c r="AF11" s="26">
        <f t="shared" si="0"/>
        <v>10</v>
      </c>
      <c r="AG11" s="26">
        <f t="shared" si="20"/>
        <v>276</v>
      </c>
      <c r="AH11" s="28">
        <f t="shared" si="21"/>
        <v>0</v>
      </c>
      <c r="AJ11" s="26">
        <f>IF(AG11&gt;=0,AF11*Parameters!$C$25,MAX(AD11+AE11,0)*Parameters!$C$25)</f>
        <v>500000</v>
      </c>
      <c r="AK11" s="26">
        <f>IF(AG11&lt;0,-AG11*Parameters!$C$27,0)</f>
        <v>0</v>
      </c>
      <c r="AL11" s="26">
        <f>MAX(AG11,0)*Parameters!$C$26</f>
        <v>4140000</v>
      </c>
      <c r="AM11" s="29">
        <f t="shared" si="1"/>
        <v>4640000</v>
      </c>
    </row>
    <row r="12" spans="2:39" x14ac:dyDescent="0.25">
      <c r="B12" s="3">
        <f t="shared" si="22"/>
        <v>7</v>
      </c>
      <c r="C12" s="3">
        <f>IF(B12&lt;=Parameters!$C$9,1,2)</f>
        <v>1</v>
      </c>
      <c r="D12" s="26">
        <f t="shared" si="23"/>
        <v>1964</v>
      </c>
      <c r="E12" s="26">
        <f>ROUND(D12*IF(C12=1,Parameters!$E$13,Parameters!$E$14),0)</f>
        <v>13</v>
      </c>
      <c r="F12" s="26">
        <f>ROUND((E12+D12)*IF(C12=1,Parameters!$E$17,Parameters!$E$18),0)</f>
        <v>19</v>
      </c>
      <c r="G12" s="26">
        <f t="shared" si="2"/>
        <v>1958</v>
      </c>
      <c r="H12" s="26">
        <f t="shared" si="3"/>
        <v>1964</v>
      </c>
      <c r="I12" s="26">
        <f t="shared" si="4"/>
        <v>1958</v>
      </c>
      <c r="J12" s="26">
        <f t="shared" si="5"/>
        <v>6</v>
      </c>
      <c r="K12" s="26">
        <f t="shared" si="6"/>
        <v>0</v>
      </c>
      <c r="L12" s="12" t="b">
        <f t="shared" si="7"/>
        <v>1</v>
      </c>
      <c r="N12" s="3">
        <f t="shared" si="8"/>
        <v>7</v>
      </c>
      <c r="O12" s="10">
        <f>IF(N12&lt;=Parameters!$C$10,1,0)</f>
        <v>1</v>
      </c>
      <c r="P12" s="3">
        <f t="shared" si="24"/>
        <v>260</v>
      </c>
      <c r="Q12" s="4">
        <f>Parameters!$C$20*O12</f>
        <v>11</v>
      </c>
      <c r="R12" s="4">
        <f>ROUND((Q12+P12)*Parameters!$E$23,0)</f>
        <v>1</v>
      </c>
      <c r="S12" s="3">
        <f t="shared" si="9"/>
        <v>270</v>
      </c>
      <c r="T12" s="3">
        <f t="shared" si="10"/>
        <v>260</v>
      </c>
      <c r="U12" s="3">
        <f t="shared" si="11"/>
        <v>270</v>
      </c>
      <c r="V12" s="19">
        <f t="shared" si="12"/>
        <v>0</v>
      </c>
      <c r="W12" s="19">
        <f t="shared" si="13"/>
        <v>10</v>
      </c>
      <c r="X12" s="12" t="b">
        <f t="shared" si="14"/>
        <v>1</v>
      </c>
      <c r="Z12" s="3">
        <f t="shared" si="15"/>
        <v>7</v>
      </c>
      <c r="AA12" s="27">
        <f>Parameters!$C$7</f>
        <v>2500</v>
      </c>
      <c r="AB12" s="26">
        <f t="shared" si="16"/>
        <v>1964</v>
      </c>
      <c r="AC12" s="26">
        <f t="shared" si="17"/>
        <v>260</v>
      </c>
      <c r="AD12" s="26">
        <f t="shared" si="18"/>
        <v>276</v>
      </c>
      <c r="AE12" s="26">
        <f t="shared" si="19"/>
        <v>6</v>
      </c>
      <c r="AF12" s="26">
        <f t="shared" si="0"/>
        <v>10</v>
      </c>
      <c r="AG12" s="26">
        <f t="shared" si="20"/>
        <v>272</v>
      </c>
      <c r="AH12" s="28">
        <f t="shared" si="21"/>
        <v>0</v>
      </c>
      <c r="AJ12" s="26">
        <f>IF(AG12&gt;=0,AF12*Parameters!$C$25,MAX(AD12+AE12,0)*Parameters!$C$25)</f>
        <v>500000</v>
      </c>
      <c r="AK12" s="26">
        <f>IF(AG12&lt;0,-AG12*Parameters!$C$27,0)</f>
        <v>0</v>
      </c>
      <c r="AL12" s="26">
        <f>MAX(AG12,0)*Parameters!$C$26</f>
        <v>4080000</v>
      </c>
      <c r="AM12" s="29">
        <f t="shared" si="1"/>
        <v>4580000</v>
      </c>
    </row>
    <row r="13" spans="2:39" x14ac:dyDescent="0.25">
      <c r="B13" s="3">
        <f t="shared" si="22"/>
        <v>8</v>
      </c>
      <c r="C13" s="3">
        <f>IF(B13&lt;=Parameters!$C$9,1,2)</f>
        <v>1</v>
      </c>
      <c r="D13" s="26">
        <f t="shared" si="23"/>
        <v>1958</v>
      </c>
      <c r="E13" s="26">
        <f>ROUND(D13*IF(C13=1,Parameters!$E$13,Parameters!$E$14),0)</f>
        <v>13</v>
      </c>
      <c r="F13" s="26">
        <f>ROUND((E13+D13)*IF(C13=1,Parameters!$E$17,Parameters!$E$18),0)</f>
        <v>19</v>
      </c>
      <c r="G13" s="26">
        <f t="shared" si="2"/>
        <v>1952</v>
      </c>
      <c r="H13" s="26">
        <f t="shared" si="3"/>
        <v>1958</v>
      </c>
      <c r="I13" s="26">
        <f t="shared" si="4"/>
        <v>1952</v>
      </c>
      <c r="J13" s="26">
        <f t="shared" si="5"/>
        <v>6</v>
      </c>
      <c r="K13" s="26">
        <f t="shared" si="6"/>
        <v>0</v>
      </c>
      <c r="L13" s="12" t="b">
        <f t="shared" si="7"/>
        <v>1</v>
      </c>
      <c r="N13" s="3">
        <f t="shared" si="8"/>
        <v>8</v>
      </c>
      <c r="O13" s="10">
        <f>IF(N13&lt;=Parameters!$C$10,1,0)</f>
        <v>1</v>
      </c>
      <c r="P13" s="3">
        <f t="shared" si="24"/>
        <v>270</v>
      </c>
      <c r="Q13" s="4">
        <f>Parameters!$C$20*O13</f>
        <v>11</v>
      </c>
      <c r="R13" s="4">
        <f>ROUND((Q13+P13)*Parameters!$E$23,0)</f>
        <v>1</v>
      </c>
      <c r="S13" s="3">
        <f t="shared" si="9"/>
        <v>280</v>
      </c>
      <c r="T13" s="3">
        <f t="shared" si="10"/>
        <v>270</v>
      </c>
      <c r="U13" s="3">
        <f t="shared" si="11"/>
        <v>280</v>
      </c>
      <c r="V13" s="19">
        <f t="shared" si="12"/>
        <v>0</v>
      </c>
      <c r="W13" s="19">
        <f t="shared" si="13"/>
        <v>10</v>
      </c>
      <c r="X13" s="12" t="b">
        <f t="shared" si="14"/>
        <v>1</v>
      </c>
      <c r="Z13" s="3">
        <f t="shared" si="15"/>
        <v>8</v>
      </c>
      <c r="AA13" s="27">
        <f>Parameters!$C$7</f>
        <v>2500</v>
      </c>
      <c r="AB13" s="26">
        <f t="shared" si="16"/>
        <v>1958</v>
      </c>
      <c r="AC13" s="26">
        <f t="shared" si="17"/>
        <v>270</v>
      </c>
      <c r="AD13" s="26">
        <f t="shared" si="18"/>
        <v>272</v>
      </c>
      <c r="AE13" s="26">
        <f t="shared" si="19"/>
        <v>6</v>
      </c>
      <c r="AF13" s="26">
        <f t="shared" si="0"/>
        <v>10</v>
      </c>
      <c r="AG13" s="26">
        <f t="shared" si="20"/>
        <v>268</v>
      </c>
      <c r="AH13" s="28">
        <f t="shared" si="21"/>
        <v>0</v>
      </c>
      <c r="AJ13" s="26">
        <f>IF(AG13&gt;=0,AF13*Parameters!$C$25,MAX(AD13+AE13,0)*Parameters!$C$25)</f>
        <v>500000</v>
      </c>
      <c r="AK13" s="26">
        <f>IF(AG13&lt;0,-AG13*Parameters!$C$27,0)</f>
        <v>0</v>
      </c>
      <c r="AL13" s="26">
        <f>MAX(AG13,0)*Parameters!$C$26</f>
        <v>4020000</v>
      </c>
      <c r="AM13" s="29">
        <f t="shared" si="1"/>
        <v>4520000</v>
      </c>
    </row>
    <row r="14" spans="2:39" x14ac:dyDescent="0.25">
      <c r="B14" s="3">
        <f t="shared" si="22"/>
        <v>9</v>
      </c>
      <c r="C14" s="3">
        <f>IF(B14&lt;=Parameters!$C$9,1,2)</f>
        <v>1</v>
      </c>
      <c r="D14" s="26">
        <f t="shared" si="23"/>
        <v>1952</v>
      </c>
      <c r="E14" s="26">
        <f>ROUND(D14*IF(C14=1,Parameters!$E$13,Parameters!$E$14),0)</f>
        <v>13</v>
      </c>
      <c r="F14" s="26">
        <f>ROUND((E14+D14)*IF(C14=1,Parameters!$E$17,Parameters!$E$18),0)</f>
        <v>19</v>
      </c>
      <c r="G14" s="26">
        <f t="shared" si="2"/>
        <v>1946</v>
      </c>
      <c r="H14" s="26">
        <f t="shared" si="3"/>
        <v>1952</v>
      </c>
      <c r="I14" s="26">
        <f t="shared" si="4"/>
        <v>1946</v>
      </c>
      <c r="J14" s="26">
        <f t="shared" si="5"/>
        <v>6</v>
      </c>
      <c r="K14" s="26">
        <f t="shared" si="6"/>
        <v>0</v>
      </c>
      <c r="L14" s="12" t="b">
        <f t="shared" si="7"/>
        <v>1</v>
      </c>
      <c r="N14" s="3">
        <f t="shared" si="8"/>
        <v>9</v>
      </c>
      <c r="O14" s="10">
        <f>IF(N14&lt;=Parameters!$C$10,1,0)</f>
        <v>1</v>
      </c>
      <c r="P14" s="3">
        <f t="shared" si="24"/>
        <v>280</v>
      </c>
      <c r="Q14" s="4">
        <f>Parameters!$C$20*O14</f>
        <v>11</v>
      </c>
      <c r="R14" s="4">
        <f>ROUND((Q14+P14)*Parameters!$E$23,0)</f>
        <v>1</v>
      </c>
      <c r="S14" s="3">
        <f t="shared" si="9"/>
        <v>290</v>
      </c>
      <c r="T14" s="3">
        <f t="shared" si="10"/>
        <v>280</v>
      </c>
      <c r="U14" s="3">
        <f t="shared" si="11"/>
        <v>290</v>
      </c>
      <c r="V14" s="19">
        <f t="shared" si="12"/>
        <v>0</v>
      </c>
      <c r="W14" s="19">
        <f t="shared" si="13"/>
        <v>10</v>
      </c>
      <c r="X14" s="12" t="b">
        <f t="shared" si="14"/>
        <v>1</v>
      </c>
      <c r="Z14" s="3">
        <f t="shared" si="15"/>
        <v>9</v>
      </c>
      <c r="AA14" s="27">
        <f>Parameters!$C$7</f>
        <v>2500</v>
      </c>
      <c r="AB14" s="26">
        <f t="shared" si="16"/>
        <v>1952</v>
      </c>
      <c r="AC14" s="26">
        <f t="shared" si="17"/>
        <v>280</v>
      </c>
      <c r="AD14" s="26">
        <f t="shared" si="18"/>
        <v>268</v>
      </c>
      <c r="AE14" s="26">
        <f t="shared" si="19"/>
        <v>6</v>
      </c>
      <c r="AF14" s="26">
        <f t="shared" si="0"/>
        <v>10</v>
      </c>
      <c r="AG14" s="26">
        <f t="shared" si="20"/>
        <v>264</v>
      </c>
      <c r="AH14" s="28">
        <f t="shared" si="21"/>
        <v>0</v>
      </c>
      <c r="AJ14" s="26">
        <f>IF(AG14&gt;=0,AF14*Parameters!$C$25,MAX(AD14+AE14,0)*Parameters!$C$25)</f>
        <v>500000</v>
      </c>
      <c r="AK14" s="26">
        <f>IF(AG14&lt;0,-AG14*Parameters!$C$27,0)</f>
        <v>0</v>
      </c>
      <c r="AL14" s="26">
        <f>MAX(AG14,0)*Parameters!$C$26</f>
        <v>3960000</v>
      </c>
      <c r="AM14" s="29">
        <f t="shared" si="1"/>
        <v>4460000</v>
      </c>
    </row>
    <row r="15" spans="2:39" x14ac:dyDescent="0.25">
      <c r="B15" s="3">
        <f t="shared" si="22"/>
        <v>10</v>
      </c>
      <c r="C15" s="3">
        <f>IF(B15&lt;=Parameters!$C$9,1,2)</f>
        <v>1</v>
      </c>
      <c r="D15" s="26">
        <f t="shared" si="23"/>
        <v>1946</v>
      </c>
      <c r="E15" s="26">
        <f>ROUND(D15*IF(C15=1,Parameters!$E$13,Parameters!$E$14),0)</f>
        <v>13</v>
      </c>
      <c r="F15" s="26">
        <f>ROUND((E15+D15)*IF(C15=1,Parameters!$E$17,Parameters!$E$18),0)</f>
        <v>19</v>
      </c>
      <c r="G15" s="26">
        <f t="shared" si="2"/>
        <v>1940</v>
      </c>
      <c r="H15" s="26">
        <f t="shared" si="3"/>
        <v>1946</v>
      </c>
      <c r="I15" s="26">
        <f t="shared" si="4"/>
        <v>1940</v>
      </c>
      <c r="J15" s="26">
        <f t="shared" si="5"/>
        <v>6</v>
      </c>
      <c r="K15" s="26">
        <f t="shared" si="6"/>
        <v>0</v>
      </c>
      <c r="L15" s="12" t="b">
        <f t="shared" si="7"/>
        <v>1</v>
      </c>
      <c r="N15" s="3">
        <f t="shared" si="8"/>
        <v>10</v>
      </c>
      <c r="O15" s="10">
        <f>IF(N15&lt;=Parameters!$C$10,1,0)</f>
        <v>1</v>
      </c>
      <c r="P15" s="3">
        <f t="shared" si="24"/>
        <v>290</v>
      </c>
      <c r="Q15" s="4">
        <f>Parameters!$C$20*O15</f>
        <v>11</v>
      </c>
      <c r="R15" s="4">
        <f>ROUND((Q15+P15)*Parameters!$E$23,0)</f>
        <v>1</v>
      </c>
      <c r="S15" s="3">
        <f t="shared" si="9"/>
        <v>300</v>
      </c>
      <c r="T15" s="3">
        <f t="shared" si="10"/>
        <v>290</v>
      </c>
      <c r="U15" s="3">
        <f t="shared" si="11"/>
        <v>300</v>
      </c>
      <c r="V15" s="19">
        <f t="shared" si="12"/>
        <v>0</v>
      </c>
      <c r="W15" s="19">
        <f t="shared" si="13"/>
        <v>10</v>
      </c>
      <c r="X15" s="12" t="b">
        <f t="shared" si="14"/>
        <v>1</v>
      </c>
      <c r="Z15" s="3">
        <f t="shared" si="15"/>
        <v>10</v>
      </c>
      <c r="AA15" s="27">
        <f>Parameters!$C$7</f>
        <v>2500</v>
      </c>
      <c r="AB15" s="26">
        <f t="shared" si="16"/>
        <v>1946</v>
      </c>
      <c r="AC15" s="26">
        <f t="shared" si="17"/>
        <v>290</v>
      </c>
      <c r="AD15" s="26">
        <f t="shared" si="18"/>
        <v>264</v>
      </c>
      <c r="AE15" s="26">
        <f t="shared" si="19"/>
        <v>6</v>
      </c>
      <c r="AF15" s="26">
        <f t="shared" si="0"/>
        <v>10</v>
      </c>
      <c r="AG15" s="26">
        <f t="shared" si="20"/>
        <v>260</v>
      </c>
      <c r="AH15" s="28">
        <f t="shared" si="21"/>
        <v>0</v>
      </c>
      <c r="AJ15" s="26">
        <f>IF(AG15&gt;=0,AF15*Parameters!$C$25,MAX(AD15+AE15,0)*Parameters!$C$25)</f>
        <v>500000</v>
      </c>
      <c r="AK15" s="26">
        <f>IF(AG15&lt;0,-AG15*Parameters!$C$27,0)</f>
        <v>0</v>
      </c>
      <c r="AL15" s="26">
        <f>MAX(AG15,0)*Parameters!$C$26</f>
        <v>3900000</v>
      </c>
      <c r="AM15" s="29">
        <f t="shared" si="1"/>
        <v>4400000</v>
      </c>
    </row>
    <row r="16" spans="2:39" x14ac:dyDescent="0.25">
      <c r="B16" s="3">
        <f t="shared" si="22"/>
        <v>11</v>
      </c>
      <c r="C16" s="3">
        <f>IF(B16&lt;=Parameters!$C$9,1,2)</f>
        <v>1</v>
      </c>
      <c r="D16" s="26">
        <f t="shared" si="23"/>
        <v>1940</v>
      </c>
      <c r="E16" s="26">
        <f>ROUND(D16*IF(C16=1,Parameters!$E$13,Parameters!$E$14),0)</f>
        <v>12</v>
      </c>
      <c r="F16" s="26">
        <f>ROUND((E16+D16)*IF(C16=1,Parameters!$E$17,Parameters!$E$18),0)</f>
        <v>19</v>
      </c>
      <c r="G16" s="26">
        <f t="shared" si="2"/>
        <v>1933</v>
      </c>
      <c r="H16" s="26">
        <f t="shared" si="3"/>
        <v>1940</v>
      </c>
      <c r="I16" s="26">
        <f t="shared" si="4"/>
        <v>1933</v>
      </c>
      <c r="J16" s="26">
        <f t="shared" si="5"/>
        <v>7</v>
      </c>
      <c r="K16" s="26">
        <f t="shared" si="6"/>
        <v>0</v>
      </c>
      <c r="L16" s="12" t="b">
        <f t="shared" si="7"/>
        <v>1</v>
      </c>
      <c r="N16" s="3">
        <f t="shared" si="8"/>
        <v>11</v>
      </c>
      <c r="O16" s="10">
        <f>IF(N16&lt;=Parameters!$C$10,1,0)</f>
        <v>1</v>
      </c>
      <c r="P16" s="3">
        <f t="shared" si="24"/>
        <v>300</v>
      </c>
      <c r="Q16" s="4">
        <f>Parameters!$C$20*O16</f>
        <v>11</v>
      </c>
      <c r="R16" s="4">
        <f>ROUND((Q16+P16)*Parameters!$E$23,0)</f>
        <v>1</v>
      </c>
      <c r="S16" s="3">
        <f t="shared" si="9"/>
        <v>310</v>
      </c>
      <c r="T16" s="3">
        <f t="shared" si="10"/>
        <v>300</v>
      </c>
      <c r="U16" s="3">
        <f t="shared" si="11"/>
        <v>310</v>
      </c>
      <c r="V16" s="19">
        <f t="shared" si="12"/>
        <v>0</v>
      </c>
      <c r="W16" s="19">
        <f t="shared" si="13"/>
        <v>10</v>
      </c>
      <c r="X16" s="12" t="b">
        <f t="shared" si="14"/>
        <v>1</v>
      </c>
      <c r="Z16" s="3">
        <f t="shared" si="15"/>
        <v>11</v>
      </c>
      <c r="AA16" s="27">
        <f>Parameters!$C$7</f>
        <v>2500</v>
      </c>
      <c r="AB16" s="26">
        <f t="shared" si="16"/>
        <v>1940</v>
      </c>
      <c r="AC16" s="26">
        <f t="shared" si="17"/>
        <v>300</v>
      </c>
      <c r="AD16" s="26">
        <f t="shared" si="18"/>
        <v>260</v>
      </c>
      <c r="AE16" s="26">
        <f t="shared" si="19"/>
        <v>7</v>
      </c>
      <c r="AF16" s="26">
        <f t="shared" si="0"/>
        <v>10</v>
      </c>
      <c r="AG16" s="26">
        <f t="shared" si="20"/>
        <v>257</v>
      </c>
      <c r="AH16" s="28">
        <f t="shared" si="21"/>
        <v>0</v>
      </c>
      <c r="AJ16" s="26">
        <f>IF(AG16&gt;=0,AF16*Parameters!$C$25,MAX(AD16+AE16,0)*Parameters!$C$25)</f>
        <v>500000</v>
      </c>
      <c r="AK16" s="26">
        <f>IF(AG16&lt;0,-AG16*Parameters!$C$27,0)</f>
        <v>0</v>
      </c>
      <c r="AL16" s="26">
        <f>MAX(AG16,0)*Parameters!$C$26</f>
        <v>3855000</v>
      </c>
      <c r="AM16" s="29">
        <f t="shared" si="1"/>
        <v>4355000</v>
      </c>
    </row>
    <row r="17" spans="2:39" x14ac:dyDescent="0.25">
      <c r="B17" s="3">
        <f t="shared" si="22"/>
        <v>12</v>
      </c>
      <c r="C17" s="3">
        <f>IF(B17&lt;=Parameters!$C$9,1,2)</f>
        <v>1</v>
      </c>
      <c r="D17" s="26">
        <f t="shared" si="23"/>
        <v>1933</v>
      </c>
      <c r="E17" s="26">
        <f>ROUND(D17*IF(C17=1,Parameters!$E$13,Parameters!$E$14),0)</f>
        <v>12</v>
      </c>
      <c r="F17" s="26">
        <f>ROUND((E17+D17)*IF(C17=1,Parameters!$E$17,Parameters!$E$18),0)</f>
        <v>18</v>
      </c>
      <c r="G17" s="26">
        <f t="shared" si="2"/>
        <v>1927</v>
      </c>
      <c r="H17" s="26">
        <f t="shared" si="3"/>
        <v>1933</v>
      </c>
      <c r="I17" s="26">
        <f t="shared" si="4"/>
        <v>1927</v>
      </c>
      <c r="J17" s="26">
        <f t="shared" si="5"/>
        <v>6</v>
      </c>
      <c r="K17" s="26">
        <f t="shared" si="6"/>
        <v>0</v>
      </c>
      <c r="L17" s="12" t="b">
        <f t="shared" si="7"/>
        <v>1</v>
      </c>
      <c r="N17" s="3">
        <f t="shared" si="8"/>
        <v>12</v>
      </c>
      <c r="O17" s="10">
        <f>IF(N17&lt;=Parameters!$C$10,1,0)</f>
        <v>1</v>
      </c>
      <c r="P17" s="3">
        <f t="shared" si="24"/>
        <v>310</v>
      </c>
      <c r="Q17" s="4">
        <f>Parameters!$C$20*O17</f>
        <v>11</v>
      </c>
      <c r="R17" s="4">
        <f>ROUND((Q17+P17)*Parameters!$E$23,0)</f>
        <v>1</v>
      </c>
      <c r="S17" s="3">
        <f t="shared" si="9"/>
        <v>320</v>
      </c>
      <c r="T17" s="3">
        <f t="shared" si="10"/>
        <v>310</v>
      </c>
      <c r="U17" s="3">
        <f t="shared" si="11"/>
        <v>320</v>
      </c>
      <c r="V17" s="19">
        <f t="shared" si="12"/>
        <v>0</v>
      </c>
      <c r="W17" s="19">
        <f t="shared" si="13"/>
        <v>10</v>
      </c>
      <c r="X17" s="12" t="b">
        <f t="shared" si="14"/>
        <v>1</v>
      </c>
      <c r="Z17" s="3">
        <f t="shared" si="15"/>
        <v>12</v>
      </c>
      <c r="AA17" s="27">
        <f>Parameters!$C$7</f>
        <v>2500</v>
      </c>
      <c r="AB17" s="26">
        <f t="shared" si="16"/>
        <v>1933</v>
      </c>
      <c r="AC17" s="26">
        <f t="shared" si="17"/>
        <v>310</v>
      </c>
      <c r="AD17" s="26">
        <f t="shared" si="18"/>
        <v>257</v>
      </c>
      <c r="AE17" s="26">
        <f t="shared" si="19"/>
        <v>6</v>
      </c>
      <c r="AF17" s="26">
        <f t="shared" si="0"/>
        <v>10</v>
      </c>
      <c r="AG17" s="26">
        <f t="shared" si="20"/>
        <v>253</v>
      </c>
      <c r="AH17" s="28">
        <f t="shared" si="21"/>
        <v>0</v>
      </c>
      <c r="AJ17" s="26">
        <f>IF(AG17&gt;=0,AF17*Parameters!$C$25,MAX(AD17+AE17,0)*Parameters!$C$25)</f>
        <v>500000</v>
      </c>
      <c r="AK17" s="26">
        <f>IF(AG17&lt;0,-AG17*Parameters!$C$27,0)</f>
        <v>0</v>
      </c>
      <c r="AL17" s="26">
        <f>MAX(AG17,0)*Parameters!$C$26</f>
        <v>3795000</v>
      </c>
      <c r="AM17" s="29">
        <f t="shared" si="1"/>
        <v>4295000</v>
      </c>
    </row>
    <row r="18" spans="2:39" x14ac:dyDescent="0.25">
      <c r="B18" s="3">
        <f t="shared" si="22"/>
        <v>13</v>
      </c>
      <c r="C18" s="3">
        <f>IF(B18&lt;=Parameters!$C$9,1,2)</f>
        <v>1</v>
      </c>
      <c r="D18" s="26">
        <f t="shared" si="23"/>
        <v>1927</v>
      </c>
      <c r="E18" s="26">
        <f>ROUND(D18*IF(C18=1,Parameters!$E$13,Parameters!$E$14),0)</f>
        <v>12</v>
      </c>
      <c r="F18" s="26">
        <f>ROUND((E18+D18)*IF(C18=1,Parameters!$E$17,Parameters!$E$18),0)</f>
        <v>18</v>
      </c>
      <c r="G18" s="26">
        <f t="shared" si="2"/>
        <v>1921</v>
      </c>
      <c r="H18" s="26">
        <f t="shared" si="3"/>
        <v>1927</v>
      </c>
      <c r="I18" s="26">
        <f t="shared" si="4"/>
        <v>1921</v>
      </c>
      <c r="J18" s="26">
        <f t="shared" si="5"/>
        <v>6</v>
      </c>
      <c r="K18" s="26">
        <f t="shared" si="6"/>
        <v>0</v>
      </c>
      <c r="L18" s="12" t="b">
        <f t="shared" si="7"/>
        <v>1</v>
      </c>
      <c r="N18" s="3">
        <f t="shared" si="8"/>
        <v>13</v>
      </c>
      <c r="O18" s="10">
        <f>IF(N18&lt;=Parameters!$C$10,1,0)</f>
        <v>1</v>
      </c>
      <c r="P18" s="3">
        <f t="shared" si="24"/>
        <v>320</v>
      </c>
      <c r="Q18" s="4">
        <f>Parameters!$C$20*O18</f>
        <v>11</v>
      </c>
      <c r="R18" s="4">
        <f>ROUND((Q18+P18)*Parameters!$E$23,0)</f>
        <v>1</v>
      </c>
      <c r="S18" s="3">
        <f t="shared" si="9"/>
        <v>330</v>
      </c>
      <c r="T18" s="3">
        <f t="shared" si="10"/>
        <v>320</v>
      </c>
      <c r="U18" s="3">
        <f t="shared" si="11"/>
        <v>330</v>
      </c>
      <c r="V18" s="19">
        <f t="shared" si="12"/>
        <v>0</v>
      </c>
      <c r="W18" s="19">
        <f t="shared" si="13"/>
        <v>10</v>
      </c>
      <c r="X18" s="12" t="b">
        <f t="shared" si="14"/>
        <v>1</v>
      </c>
      <c r="Z18" s="3">
        <f t="shared" si="15"/>
        <v>13</v>
      </c>
      <c r="AA18" s="27">
        <f>Parameters!$C$7</f>
        <v>2500</v>
      </c>
      <c r="AB18" s="26">
        <f t="shared" si="16"/>
        <v>1927</v>
      </c>
      <c r="AC18" s="26">
        <f t="shared" si="17"/>
        <v>320</v>
      </c>
      <c r="AD18" s="26">
        <f t="shared" si="18"/>
        <v>253</v>
      </c>
      <c r="AE18" s="26">
        <f t="shared" si="19"/>
        <v>6</v>
      </c>
      <c r="AF18" s="26">
        <f t="shared" si="0"/>
        <v>10</v>
      </c>
      <c r="AG18" s="26">
        <f t="shared" si="20"/>
        <v>249</v>
      </c>
      <c r="AH18" s="28">
        <f t="shared" si="21"/>
        <v>0</v>
      </c>
      <c r="AJ18" s="26">
        <f>IF(AG18&gt;=0,AF18*Parameters!$C$25,MAX(AD18+AE18,0)*Parameters!$C$25)</f>
        <v>500000</v>
      </c>
      <c r="AK18" s="26">
        <f>IF(AG18&lt;0,-AG18*Parameters!$C$27,0)</f>
        <v>0</v>
      </c>
      <c r="AL18" s="26">
        <f>MAX(AG18,0)*Parameters!$C$26</f>
        <v>3735000</v>
      </c>
      <c r="AM18" s="29">
        <f t="shared" si="1"/>
        <v>4235000</v>
      </c>
    </row>
    <row r="19" spans="2:39" x14ac:dyDescent="0.25">
      <c r="B19" s="3">
        <f t="shared" si="22"/>
        <v>14</v>
      </c>
      <c r="C19" s="3">
        <f>IF(B19&lt;=Parameters!$C$9,1,2)</f>
        <v>1</v>
      </c>
      <c r="D19" s="26">
        <f t="shared" si="23"/>
        <v>1921</v>
      </c>
      <c r="E19" s="26">
        <f>ROUND(D19*IF(C19=1,Parameters!$E$13,Parameters!$E$14),0)</f>
        <v>12</v>
      </c>
      <c r="F19" s="26">
        <f>ROUND((E19+D19)*IF(C19=1,Parameters!$E$17,Parameters!$E$18),0)</f>
        <v>18</v>
      </c>
      <c r="G19" s="26">
        <f t="shared" si="2"/>
        <v>1915</v>
      </c>
      <c r="H19" s="26">
        <f t="shared" si="3"/>
        <v>1921</v>
      </c>
      <c r="I19" s="26">
        <f t="shared" si="4"/>
        <v>1915</v>
      </c>
      <c r="J19" s="26">
        <f t="shared" si="5"/>
        <v>6</v>
      </c>
      <c r="K19" s="26">
        <f t="shared" si="6"/>
        <v>0</v>
      </c>
      <c r="L19" s="12" t="b">
        <f t="shared" si="7"/>
        <v>1</v>
      </c>
      <c r="N19" s="3">
        <f t="shared" si="8"/>
        <v>14</v>
      </c>
      <c r="O19" s="10">
        <f>IF(N19&lt;=Parameters!$C$10,1,0)</f>
        <v>1</v>
      </c>
      <c r="P19" s="3">
        <f t="shared" si="24"/>
        <v>330</v>
      </c>
      <c r="Q19" s="4">
        <f>Parameters!$C$20*O19</f>
        <v>11</v>
      </c>
      <c r="R19" s="4">
        <f>ROUND((Q19+P19)*Parameters!$E$23,0)</f>
        <v>1</v>
      </c>
      <c r="S19" s="3">
        <f t="shared" si="9"/>
        <v>340</v>
      </c>
      <c r="T19" s="3">
        <f t="shared" si="10"/>
        <v>330</v>
      </c>
      <c r="U19" s="3">
        <f t="shared" si="11"/>
        <v>340</v>
      </c>
      <c r="V19" s="19">
        <f t="shared" si="12"/>
        <v>0</v>
      </c>
      <c r="W19" s="19">
        <f t="shared" si="13"/>
        <v>10</v>
      </c>
      <c r="X19" s="12" t="b">
        <f t="shared" si="14"/>
        <v>1</v>
      </c>
      <c r="Z19" s="3">
        <f t="shared" si="15"/>
        <v>14</v>
      </c>
      <c r="AA19" s="27">
        <f>Parameters!$C$7</f>
        <v>2500</v>
      </c>
      <c r="AB19" s="26">
        <f t="shared" si="16"/>
        <v>1921</v>
      </c>
      <c r="AC19" s="26">
        <f t="shared" si="17"/>
        <v>330</v>
      </c>
      <c r="AD19" s="26">
        <f t="shared" si="18"/>
        <v>249</v>
      </c>
      <c r="AE19" s="26">
        <f t="shared" si="19"/>
        <v>6</v>
      </c>
      <c r="AF19" s="26">
        <f t="shared" si="0"/>
        <v>10</v>
      </c>
      <c r="AG19" s="26">
        <f t="shared" si="20"/>
        <v>245</v>
      </c>
      <c r="AH19" s="28">
        <f t="shared" si="21"/>
        <v>0</v>
      </c>
      <c r="AJ19" s="26">
        <f>IF(AG19&gt;=0,AF19*Parameters!$C$25,MAX(AD19+AE19,0)*Parameters!$C$25)</f>
        <v>500000</v>
      </c>
      <c r="AK19" s="26">
        <f>IF(AG19&lt;0,-AG19*Parameters!$C$27,0)</f>
        <v>0</v>
      </c>
      <c r="AL19" s="26">
        <f>MAX(AG19,0)*Parameters!$C$26</f>
        <v>3675000</v>
      </c>
      <c r="AM19" s="29">
        <f t="shared" si="1"/>
        <v>4175000</v>
      </c>
    </row>
    <row r="20" spans="2:39" x14ac:dyDescent="0.25">
      <c r="B20" s="3">
        <f t="shared" si="22"/>
        <v>15</v>
      </c>
      <c r="C20" s="3">
        <f>IF(B20&lt;=Parameters!$C$9,1,2)</f>
        <v>1</v>
      </c>
      <c r="D20" s="26">
        <f t="shared" si="23"/>
        <v>1915</v>
      </c>
      <c r="E20" s="26">
        <f>ROUND(D20*IF(C20=1,Parameters!$E$13,Parameters!$E$14),0)</f>
        <v>12</v>
      </c>
      <c r="F20" s="26">
        <f>ROUND((E20+D20)*IF(C20=1,Parameters!$E$17,Parameters!$E$18),0)</f>
        <v>18</v>
      </c>
      <c r="G20" s="26">
        <f t="shared" si="2"/>
        <v>1909</v>
      </c>
      <c r="H20" s="26">
        <f t="shared" si="3"/>
        <v>1915</v>
      </c>
      <c r="I20" s="26">
        <f t="shared" si="4"/>
        <v>1909</v>
      </c>
      <c r="J20" s="26">
        <f t="shared" si="5"/>
        <v>6</v>
      </c>
      <c r="K20" s="26">
        <f t="shared" si="6"/>
        <v>0</v>
      </c>
      <c r="L20" s="12" t="b">
        <f t="shared" si="7"/>
        <v>1</v>
      </c>
      <c r="N20" s="3">
        <f t="shared" si="8"/>
        <v>15</v>
      </c>
      <c r="O20" s="10">
        <f>IF(N20&lt;=Parameters!$C$10,1,0)</f>
        <v>1</v>
      </c>
      <c r="P20" s="3">
        <f t="shared" si="24"/>
        <v>340</v>
      </c>
      <c r="Q20" s="4">
        <f>Parameters!$C$20*O20</f>
        <v>11</v>
      </c>
      <c r="R20" s="4">
        <f>ROUND((Q20+P20)*Parameters!$E$23,0)</f>
        <v>1</v>
      </c>
      <c r="S20" s="3">
        <f t="shared" si="9"/>
        <v>350</v>
      </c>
      <c r="T20" s="3">
        <f t="shared" si="10"/>
        <v>340</v>
      </c>
      <c r="U20" s="3">
        <f t="shared" si="11"/>
        <v>350</v>
      </c>
      <c r="V20" s="19">
        <f t="shared" si="12"/>
        <v>0</v>
      </c>
      <c r="W20" s="19">
        <f t="shared" si="13"/>
        <v>10</v>
      </c>
      <c r="X20" s="12" t="b">
        <f t="shared" si="14"/>
        <v>1</v>
      </c>
      <c r="Z20" s="3">
        <f t="shared" si="15"/>
        <v>15</v>
      </c>
      <c r="AA20" s="27">
        <f>Parameters!$C$7</f>
        <v>2500</v>
      </c>
      <c r="AB20" s="26">
        <f t="shared" si="16"/>
        <v>1915</v>
      </c>
      <c r="AC20" s="26">
        <f t="shared" si="17"/>
        <v>340</v>
      </c>
      <c r="AD20" s="26">
        <f t="shared" si="18"/>
        <v>245</v>
      </c>
      <c r="AE20" s="26">
        <f t="shared" si="19"/>
        <v>6</v>
      </c>
      <c r="AF20" s="26">
        <f t="shared" si="0"/>
        <v>10</v>
      </c>
      <c r="AG20" s="26">
        <f t="shared" si="20"/>
        <v>241</v>
      </c>
      <c r="AH20" s="28">
        <f t="shared" si="21"/>
        <v>0</v>
      </c>
      <c r="AJ20" s="26">
        <f>IF(AG20&gt;=0,AF20*Parameters!$C$25,MAX(AD20+AE20,0)*Parameters!$C$25)</f>
        <v>500000</v>
      </c>
      <c r="AK20" s="26">
        <f>IF(AG20&lt;0,-AG20*Parameters!$C$27,0)</f>
        <v>0</v>
      </c>
      <c r="AL20" s="26">
        <f>MAX(AG20,0)*Parameters!$C$26</f>
        <v>3615000</v>
      </c>
      <c r="AM20" s="29">
        <f t="shared" si="1"/>
        <v>4115000</v>
      </c>
    </row>
    <row r="21" spans="2:39" x14ac:dyDescent="0.25">
      <c r="B21" s="3">
        <f t="shared" si="22"/>
        <v>16</v>
      </c>
      <c r="C21" s="3">
        <f>IF(B21&lt;=Parameters!$C$9,1,2)</f>
        <v>1</v>
      </c>
      <c r="D21" s="26">
        <f t="shared" si="23"/>
        <v>1909</v>
      </c>
      <c r="E21" s="26">
        <f>ROUND(D21*IF(C21=1,Parameters!$E$13,Parameters!$E$14),0)</f>
        <v>12</v>
      </c>
      <c r="F21" s="26">
        <f>ROUND((E21+D21)*IF(C21=1,Parameters!$E$17,Parameters!$E$18),0)</f>
        <v>18</v>
      </c>
      <c r="G21" s="26">
        <f t="shared" si="2"/>
        <v>1903</v>
      </c>
      <c r="H21" s="26">
        <f t="shared" si="3"/>
        <v>1909</v>
      </c>
      <c r="I21" s="26">
        <f t="shared" si="4"/>
        <v>1903</v>
      </c>
      <c r="J21" s="26">
        <f t="shared" si="5"/>
        <v>6</v>
      </c>
      <c r="K21" s="26">
        <f t="shared" si="6"/>
        <v>0</v>
      </c>
      <c r="L21" s="12" t="b">
        <f t="shared" si="7"/>
        <v>1</v>
      </c>
      <c r="N21" s="3">
        <f t="shared" si="8"/>
        <v>16</v>
      </c>
      <c r="O21" s="10">
        <f>IF(N21&lt;=Parameters!$C$10,1,0)</f>
        <v>1</v>
      </c>
      <c r="P21" s="3">
        <f t="shared" si="24"/>
        <v>350</v>
      </c>
      <c r="Q21" s="4">
        <f>Parameters!$C$20*O21</f>
        <v>11</v>
      </c>
      <c r="R21" s="4">
        <f>ROUND((Q21+P21)*Parameters!$E$23,0)</f>
        <v>1</v>
      </c>
      <c r="S21" s="3">
        <f t="shared" si="9"/>
        <v>360</v>
      </c>
      <c r="T21" s="3">
        <f t="shared" si="10"/>
        <v>350</v>
      </c>
      <c r="U21" s="3">
        <f t="shared" si="11"/>
        <v>360</v>
      </c>
      <c r="V21" s="19">
        <f t="shared" si="12"/>
        <v>0</v>
      </c>
      <c r="W21" s="19">
        <f t="shared" si="13"/>
        <v>10</v>
      </c>
      <c r="X21" s="12" t="b">
        <f t="shared" si="14"/>
        <v>1</v>
      </c>
      <c r="Z21" s="3">
        <f t="shared" si="15"/>
        <v>16</v>
      </c>
      <c r="AA21" s="27">
        <f>Parameters!$C$7</f>
        <v>2500</v>
      </c>
      <c r="AB21" s="26">
        <f t="shared" si="16"/>
        <v>1909</v>
      </c>
      <c r="AC21" s="26">
        <f t="shared" si="17"/>
        <v>350</v>
      </c>
      <c r="AD21" s="26">
        <f t="shared" si="18"/>
        <v>241</v>
      </c>
      <c r="AE21" s="26">
        <f t="shared" si="19"/>
        <v>6</v>
      </c>
      <c r="AF21" s="26">
        <f t="shared" si="0"/>
        <v>10</v>
      </c>
      <c r="AG21" s="26">
        <f t="shared" si="20"/>
        <v>237</v>
      </c>
      <c r="AH21" s="28">
        <f t="shared" si="21"/>
        <v>0</v>
      </c>
      <c r="AJ21" s="26">
        <f>IF(AG21&gt;=0,AF21*Parameters!$C$25,MAX(AD21+AE21,0)*Parameters!$C$25)</f>
        <v>500000</v>
      </c>
      <c r="AK21" s="26">
        <f>IF(AG21&lt;0,-AG21*Parameters!$C$27,0)</f>
        <v>0</v>
      </c>
      <c r="AL21" s="26">
        <f>MAX(AG21,0)*Parameters!$C$26</f>
        <v>3555000</v>
      </c>
      <c r="AM21" s="29">
        <f t="shared" si="1"/>
        <v>4055000</v>
      </c>
    </row>
    <row r="22" spans="2:39" x14ac:dyDescent="0.25">
      <c r="B22" s="3">
        <f t="shared" si="22"/>
        <v>17</v>
      </c>
      <c r="C22" s="3">
        <f>IF(B22&lt;=Parameters!$C$9,1,2)</f>
        <v>1</v>
      </c>
      <c r="D22" s="26">
        <f t="shared" si="23"/>
        <v>1903</v>
      </c>
      <c r="E22" s="26">
        <f>ROUND(D22*IF(C22=1,Parameters!$E$13,Parameters!$E$14),0)</f>
        <v>12</v>
      </c>
      <c r="F22" s="26">
        <f>ROUND((E22+D22)*IF(C22=1,Parameters!$E$17,Parameters!$E$18),0)</f>
        <v>18</v>
      </c>
      <c r="G22" s="26">
        <f t="shared" si="2"/>
        <v>1897</v>
      </c>
      <c r="H22" s="26">
        <f t="shared" si="3"/>
        <v>1903</v>
      </c>
      <c r="I22" s="26">
        <f t="shared" si="4"/>
        <v>1897</v>
      </c>
      <c r="J22" s="26">
        <f t="shared" si="5"/>
        <v>6</v>
      </c>
      <c r="K22" s="26">
        <f t="shared" si="6"/>
        <v>0</v>
      </c>
      <c r="L22" s="12" t="b">
        <f t="shared" si="7"/>
        <v>1</v>
      </c>
      <c r="N22" s="3">
        <f t="shared" si="8"/>
        <v>17</v>
      </c>
      <c r="O22" s="10">
        <f>IF(N22&lt;=Parameters!$C$10,1,0)</f>
        <v>1</v>
      </c>
      <c r="P22" s="3">
        <f t="shared" si="24"/>
        <v>360</v>
      </c>
      <c r="Q22" s="4">
        <f>Parameters!$C$20*O22</f>
        <v>11</v>
      </c>
      <c r="R22" s="4">
        <f>ROUND((Q22+P22)*Parameters!$E$23,0)</f>
        <v>2</v>
      </c>
      <c r="S22" s="3">
        <f t="shared" si="9"/>
        <v>369</v>
      </c>
      <c r="T22" s="3">
        <f t="shared" si="10"/>
        <v>360</v>
      </c>
      <c r="U22" s="3">
        <f t="shared" si="11"/>
        <v>369</v>
      </c>
      <c r="V22" s="19">
        <f t="shared" si="12"/>
        <v>0</v>
      </c>
      <c r="W22" s="19">
        <f t="shared" si="13"/>
        <v>9</v>
      </c>
      <c r="X22" s="12" t="b">
        <f t="shared" si="14"/>
        <v>1</v>
      </c>
      <c r="Z22" s="3">
        <f t="shared" si="15"/>
        <v>17</v>
      </c>
      <c r="AA22" s="27">
        <f>Parameters!$C$7</f>
        <v>2500</v>
      </c>
      <c r="AB22" s="26">
        <f t="shared" si="16"/>
        <v>1903</v>
      </c>
      <c r="AC22" s="26">
        <f t="shared" si="17"/>
        <v>360</v>
      </c>
      <c r="AD22" s="26">
        <f t="shared" si="18"/>
        <v>237</v>
      </c>
      <c r="AE22" s="26">
        <f t="shared" si="19"/>
        <v>6</v>
      </c>
      <c r="AF22" s="26">
        <f t="shared" si="0"/>
        <v>9</v>
      </c>
      <c r="AG22" s="26">
        <f t="shared" si="20"/>
        <v>234</v>
      </c>
      <c r="AH22" s="28">
        <f t="shared" si="21"/>
        <v>0</v>
      </c>
      <c r="AJ22" s="26">
        <f>IF(AG22&gt;=0,AF22*Parameters!$C$25,MAX(AD22+AE22,0)*Parameters!$C$25)</f>
        <v>450000</v>
      </c>
      <c r="AK22" s="26">
        <f>IF(AG22&lt;0,-AG22*Parameters!$C$27,0)</f>
        <v>0</v>
      </c>
      <c r="AL22" s="26">
        <f>MAX(AG22,0)*Parameters!$C$26</f>
        <v>3510000</v>
      </c>
      <c r="AM22" s="29">
        <f t="shared" si="1"/>
        <v>3960000</v>
      </c>
    </row>
    <row r="23" spans="2:39" x14ac:dyDescent="0.25">
      <c r="B23" s="3">
        <f t="shared" si="22"/>
        <v>18</v>
      </c>
      <c r="C23" s="3">
        <f>IF(B23&lt;=Parameters!$C$9,1,2)</f>
        <v>1</v>
      </c>
      <c r="D23" s="26">
        <f t="shared" si="23"/>
        <v>1897</v>
      </c>
      <c r="E23" s="26">
        <f>ROUND(D23*IF(C23=1,Parameters!$E$13,Parameters!$E$14),0)</f>
        <v>12</v>
      </c>
      <c r="F23" s="26">
        <f>ROUND((E23+D23)*IF(C23=1,Parameters!$E$17,Parameters!$E$18),0)</f>
        <v>18</v>
      </c>
      <c r="G23" s="26">
        <f t="shared" si="2"/>
        <v>1891</v>
      </c>
      <c r="H23" s="26">
        <f t="shared" si="3"/>
        <v>1897</v>
      </c>
      <c r="I23" s="26">
        <f t="shared" si="4"/>
        <v>1891</v>
      </c>
      <c r="J23" s="26">
        <f t="shared" si="5"/>
        <v>6</v>
      </c>
      <c r="K23" s="26">
        <f t="shared" si="6"/>
        <v>0</v>
      </c>
      <c r="L23" s="12" t="b">
        <f t="shared" si="7"/>
        <v>1</v>
      </c>
      <c r="N23" s="3">
        <f t="shared" si="8"/>
        <v>18</v>
      </c>
      <c r="O23" s="10">
        <f>IF(N23&lt;=Parameters!$C$10,1,0)</f>
        <v>1</v>
      </c>
      <c r="P23" s="3">
        <f t="shared" si="24"/>
        <v>369</v>
      </c>
      <c r="Q23" s="4">
        <f>Parameters!$C$20*O23</f>
        <v>11</v>
      </c>
      <c r="R23" s="4">
        <f>ROUND((Q23+P23)*Parameters!$E$23,0)</f>
        <v>2</v>
      </c>
      <c r="S23" s="3">
        <f t="shared" si="9"/>
        <v>378</v>
      </c>
      <c r="T23" s="3">
        <f t="shared" si="10"/>
        <v>369</v>
      </c>
      <c r="U23" s="3">
        <f t="shared" si="11"/>
        <v>378</v>
      </c>
      <c r="V23" s="19">
        <f t="shared" si="12"/>
        <v>0</v>
      </c>
      <c r="W23" s="19">
        <f t="shared" si="13"/>
        <v>9</v>
      </c>
      <c r="X23" s="12" t="b">
        <f t="shared" si="14"/>
        <v>1</v>
      </c>
      <c r="Z23" s="3">
        <f t="shared" si="15"/>
        <v>18</v>
      </c>
      <c r="AA23" s="27">
        <f>Parameters!$C$7</f>
        <v>2500</v>
      </c>
      <c r="AB23" s="26">
        <f t="shared" si="16"/>
        <v>1897</v>
      </c>
      <c r="AC23" s="26">
        <f t="shared" si="17"/>
        <v>369</v>
      </c>
      <c r="AD23" s="26">
        <f t="shared" si="18"/>
        <v>234</v>
      </c>
      <c r="AE23" s="26">
        <f t="shared" si="19"/>
        <v>6</v>
      </c>
      <c r="AF23" s="26">
        <f t="shared" si="0"/>
        <v>9</v>
      </c>
      <c r="AG23" s="26">
        <f t="shared" si="20"/>
        <v>231</v>
      </c>
      <c r="AH23" s="28">
        <f t="shared" si="21"/>
        <v>0</v>
      </c>
      <c r="AJ23" s="26">
        <f>IF(AG23&gt;=0,AF23*Parameters!$C$25,MAX(AD23+AE23,0)*Parameters!$C$25)</f>
        <v>450000</v>
      </c>
      <c r="AK23" s="26">
        <f>IF(AG23&lt;0,-AG23*Parameters!$C$27,0)</f>
        <v>0</v>
      </c>
      <c r="AL23" s="26">
        <f>MAX(AG23,0)*Parameters!$C$26</f>
        <v>3465000</v>
      </c>
      <c r="AM23" s="29">
        <f t="shared" si="1"/>
        <v>3915000</v>
      </c>
    </row>
    <row r="24" spans="2:39" x14ac:dyDescent="0.25">
      <c r="B24" s="3">
        <f t="shared" si="22"/>
        <v>19</v>
      </c>
      <c r="C24" s="3">
        <f>IF(B24&lt;=Parameters!$C$9,1,2)</f>
        <v>2</v>
      </c>
      <c r="D24" s="26">
        <f t="shared" si="23"/>
        <v>1891</v>
      </c>
      <c r="E24" s="26">
        <f>ROUND(D24*IF(C24=1,Parameters!$E$13,Parameters!$E$14),0)</f>
        <v>26</v>
      </c>
      <c r="F24" s="26">
        <f>ROUND((E24+D24)*IF(C24=1,Parameters!$E$17,Parameters!$E$18),0)</f>
        <v>6</v>
      </c>
      <c r="G24" s="26">
        <f t="shared" si="2"/>
        <v>1911</v>
      </c>
      <c r="H24" s="26">
        <f t="shared" si="3"/>
        <v>1891</v>
      </c>
      <c r="I24" s="26">
        <f t="shared" si="4"/>
        <v>1911</v>
      </c>
      <c r="J24" s="26">
        <f t="shared" si="5"/>
        <v>0</v>
      </c>
      <c r="K24" s="26">
        <f t="shared" si="6"/>
        <v>20</v>
      </c>
      <c r="L24" s="12" t="b">
        <f t="shared" si="7"/>
        <v>1</v>
      </c>
      <c r="N24" s="3">
        <f t="shared" si="8"/>
        <v>19</v>
      </c>
      <c r="O24" s="10">
        <f>IF(N24&lt;=Parameters!$C$10,1,0)</f>
        <v>1</v>
      </c>
      <c r="P24" s="3">
        <f t="shared" si="24"/>
        <v>378</v>
      </c>
      <c r="Q24" s="4">
        <f>Parameters!$C$20*O24</f>
        <v>11</v>
      </c>
      <c r="R24" s="4">
        <f>ROUND((Q24+P24)*Parameters!$E$23,0)</f>
        <v>2</v>
      </c>
      <c r="S24" s="3">
        <f t="shared" si="9"/>
        <v>387</v>
      </c>
      <c r="T24" s="3">
        <f t="shared" si="10"/>
        <v>378</v>
      </c>
      <c r="U24" s="3">
        <f t="shared" si="11"/>
        <v>387</v>
      </c>
      <c r="V24" s="19">
        <f t="shared" si="12"/>
        <v>0</v>
      </c>
      <c r="W24" s="19">
        <f t="shared" si="13"/>
        <v>9</v>
      </c>
      <c r="X24" s="12" t="b">
        <f t="shared" si="14"/>
        <v>1</v>
      </c>
      <c r="Z24" s="3">
        <f t="shared" si="15"/>
        <v>19</v>
      </c>
      <c r="AA24" s="27">
        <f>Parameters!$C$7</f>
        <v>2500</v>
      </c>
      <c r="AB24" s="26">
        <f t="shared" si="16"/>
        <v>1891</v>
      </c>
      <c r="AC24" s="26">
        <f t="shared" si="17"/>
        <v>378</v>
      </c>
      <c r="AD24" s="26">
        <f t="shared" si="18"/>
        <v>231</v>
      </c>
      <c r="AE24" s="26">
        <f t="shared" si="19"/>
        <v>0</v>
      </c>
      <c r="AF24" s="26">
        <f t="shared" si="0"/>
        <v>29</v>
      </c>
      <c r="AG24" s="26">
        <f t="shared" si="20"/>
        <v>202</v>
      </c>
      <c r="AH24" s="28">
        <f t="shared" si="21"/>
        <v>0</v>
      </c>
      <c r="AJ24" s="26">
        <f>IF(AG24&gt;=0,AF24*Parameters!$C$25,MAX(AD24+AE24,0)*Parameters!$C$25)</f>
        <v>1450000</v>
      </c>
      <c r="AK24" s="26">
        <f>IF(AG24&lt;0,-AG24*Parameters!$C$27,0)</f>
        <v>0</v>
      </c>
      <c r="AL24" s="26">
        <f>MAX(AG24,0)*Parameters!$C$26</f>
        <v>3030000</v>
      </c>
      <c r="AM24" s="29">
        <f t="shared" si="1"/>
        <v>4480000</v>
      </c>
    </row>
    <row r="25" spans="2:39" x14ac:dyDescent="0.25">
      <c r="B25" s="3">
        <f t="shared" si="22"/>
        <v>20</v>
      </c>
      <c r="C25" s="3">
        <f>IF(B25&lt;=Parameters!$C$9,1,2)</f>
        <v>2</v>
      </c>
      <c r="D25" s="26">
        <f t="shared" si="23"/>
        <v>1911</v>
      </c>
      <c r="E25" s="26">
        <f>ROUND(D25*IF(C25=1,Parameters!$E$13,Parameters!$E$14),0)</f>
        <v>27</v>
      </c>
      <c r="F25" s="26">
        <f>ROUND((E25+D25)*IF(C25=1,Parameters!$E$17,Parameters!$E$18),0)</f>
        <v>6</v>
      </c>
      <c r="G25" s="26">
        <f t="shared" si="2"/>
        <v>1932</v>
      </c>
      <c r="H25" s="26">
        <f t="shared" si="3"/>
        <v>1911</v>
      </c>
      <c r="I25" s="26">
        <f t="shared" si="4"/>
        <v>1932</v>
      </c>
      <c r="J25" s="26">
        <f t="shared" si="5"/>
        <v>0</v>
      </c>
      <c r="K25" s="26">
        <f t="shared" si="6"/>
        <v>21</v>
      </c>
      <c r="L25" s="12" t="b">
        <f t="shared" si="7"/>
        <v>1</v>
      </c>
      <c r="N25" s="3">
        <f t="shared" si="8"/>
        <v>20</v>
      </c>
      <c r="O25" s="10">
        <f>IF(N25&lt;=Parameters!$C$10,1,0)</f>
        <v>0</v>
      </c>
      <c r="P25" s="3">
        <f t="shared" si="24"/>
        <v>387</v>
      </c>
      <c r="Q25" s="4">
        <f>Parameters!$C$20*O25</f>
        <v>0</v>
      </c>
      <c r="R25" s="4">
        <f>ROUND((Q25+P25)*Parameters!$E$23,0)</f>
        <v>2</v>
      </c>
      <c r="S25" s="3">
        <f t="shared" si="9"/>
        <v>385</v>
      </c>
      <c r="T25" s="3">
        <f t="shared" si="10"/>
        <v>387</v>
      </c>
      <c r="U25" s="3">
        <f t="shared" si="11"/>
        <v>385</v>
      </c>
      <c r="V25" s="19">
        <f t="shared" si="12"/>
        <v>2</v>
      </c>
      <c r="W25" s="19">
        <f t="shared" si="13"/>
        <v>0</v>
      </c>
      <c r="X25" s="12" t="b">
        <f t="shared" si="14"/>
        <v>1</v>
      </c>
      <c r="Z25" s="3">
        <f t="shared" si="15"/>
        <v>20</v>
      </c>
      <c r="AA25" s="27">
        <f>Parameters!$C$7</f>
        <v>2500</v>
      </c>
      <c r="AB25" s="26">
        <f t="shared" si="16"/>
        <v>1911</v>
      </c>
      <c r="AC25" s="26">
        <f t="shared" si="17"/>
        <v>387</v>
      </c>
      <c r="AD25" s="26">
        <f t="shared" si="18"/>
        <v>202</v>
      </c>
      <c r="AE25" s="26">
        <f t="shared" si="19"/>
        <v>2</v>
      </c>
      <c r="AF25" s="26">
        <f t="shared" si="0"/>
        <v>21</v>
      </c>
      <c r="AG25" s="26">
        <f t="shared" si="20"/>
        <v>183</v>
      </c>
      <c r="AH25" s="28">
        <f t="shared" si="21"/>
        <v>0</v>
      </c>
      <c r="AJ25" s="26">
        <f>IF(AG25&gt;=0,AF25*Parameters!$C$25,MAX(AD25+AE25,0)*Parameters!$C$25)</f>
        <v>1050000</v>
      </c>
      <c r="AK25" s="26">
        <f>IF(AG25&lt;0,-AG25*Parameters!$C$27,0)</f>
        <v>0</v>
      </c>
      <c r="AL25" s="26">
        <f>MAX(AG25,0)*Parameters!$C$26</f>
        <v>2745000</v>
      </c>
      <c r="AM25" s="29">
        <f t="shared" si="1"/>
        <v>3795000</v>
      </c>
    </row>
    <row r="26" spans="2:39" x14ac:dyDescent="0.25">
      <c r="B26" s="3">
        <f t="shared" si="22"/>
        <v>21</v>
      </c>
      <c r="C26" s="3">
        <f>IF(B26&lt;=Parameters!$C$9,1,2)</f>
        <v>2</v>
      </c>
      <c r="D26" s="26">
        <f t="shared" si="23"/>
        <v>1932</v>
      </c>
      <c r="E26" s="26">
        <f>ROUND(D26*IF(C26=1,Parameters!$E$13,Parameters!$E$14),0)</f>
        <v>27</v>
      </c>
      <c r="F26" s="26">
        <f>ROUND((E26+D26)*IF(C26=1,Parameters!$E$17,Parameters!$E$18),0)</f>
        <v>6</v>
      </c>
      <c r="G26" s="26">
        <f t="shared" si="2"/>
        <v>1953</v>
      </c>
      <c r="H26" s="26">
        <f t="shared" si="3"/>
        <v>1932</v>
      </c>
      <c r="I26" s="26">
        <f t="shared" si="4"/>
        <v>1953</v>
      </c>
      <c r="J26" s="26">
        <f t="shared" si="5"/>
        <v>0</v>
      </c>
      <c r="K26" s="26">
        <f t="shared" si="6"/>
        <v>21</v>
      </c>
      <c r="L26" s="12" t="b">
        <f t="shared" si="7"/>
        <v>1</v>
      </c>
      <c r="N26" s="3">
        <f t="shared" si="8"/>
        <v>21</v>
      </c>
      <c r="O26" s="10">
        <f>IF(N26&lt;=Parameters!$C$10,1,0)</f>
        <v>0</v>
      </c>
      <c r="P26" s="3">
        <f t="shared" si="24"/>
        <v>385</v>
      </c>
      <c r="Q26" s="4">
        <f>Parameters!$C$20*O26</f>
        <v>0</v>
      </c>
      <c r="R26" s="4">
        <f>ROUND((Q26+P26)*Parameters!$E$23,0)</f>
        <v>2</v>
      </c>
      <c r="S26" s="3">
        <f t="shared" si="9"/>
        <v>383</v>
      </c>
      <c r="T26" s="3">
        <f t="shared" si="10"/>
        <v>385</v>
      </c>
      <c r="U26" s="3">
        <f t="shared" si="11"/>
        <v>383</v>
      </c>
      <c r="V26" s="19">
        <f t="shared" si="12"/>
        <v>2</v>
      </c>
      <c r="W26" s="19">
        <f t="shared" si="13"/>
        <v>0</v>
      </c>
      <c r="X26" s="12" t="b">
        <f t="shared" si="14"/>
        <v>1</v>
      </c>
      <c r="Z26" s="3">
        <f t="shared" si="15"/>
        <v>21</v>
      </c>
      <c r="AA26" s="27">
        <f>Parameters!$C$7</f>
        <v>2500</v>
      </c>
      <c r="AB26" s="26">
        <f t="shared" si="16"/>
        <v>1932</v>
      </c>
      <c r="AC26" s="26">
        <f t="shared" si="17"/>
        <v>385</v>
      </c>
      <c r="AD26" s="26">
        <f t="shared" si="18"/>
        <v>183</v>
      </c>
      <c r="AE26" s="26">
        <f t="shared" si="19"/>
        <v>2</v>
      </c>
      <c r="AF26" s="26">
        <f t="shared" si="0"/>
        <v>21</v>
      </c>
      <c r="AG26" s="26">
        <f t="shared" si="20"/>
        <v>164</v>
      </c>
      <c r="AH26" s="28">
        <f t="shared" si="21"/>
        <v>0</v>
      </c>
      <c r="AJ26" s="26">
        <f>IF(AG26&gt;=0,AF26*Parameters!$C$25,MAX(AD26+AE26,0)*Parameters!$C$25)</f>
        <v>1050000</v>
      </c>
      <c r="AK26" s="26">
        <f>IF(AG26&lt;0,-AG26*Parameters!$C$27,0)</f>
        <v>0</v>
      </c>
      <c r="AL26" s="26">
        <f>MAX(AG26,0)*Parameters!$C$26</f>
        <v>2460000</v>
      </c>
      <c r="AM26" s="29">
        <f t="shared" si="1"/>
        <v>3510000</v>
      </c>
    </row>
    <row r="27" spans="2:39" x14ac:dyDescent="0.25">
      <c r="B27" s="3">
        <f t="shared" si="22"/>
        <v>22</v>
      </c>
      <c r="C27" s="3">
        <f>IF(B27&lt;=Parameters!$C$9,1,2)</f>
        <v>2</v>
      </c>
      <c r="D27" s="26">
        <f t="shared" si="23"/>
        <v>1953</v>
      </c>
      <c r="E27" s="26">
        <f>ROUND(D27*IF(C27=1,Parameters!$E$13,Parameters!$E$14),0)</f>
        <v>27</v>
      </c>
      <c r="F27" s="26">
        <f>ROUND((E27+D27)*IF(C27=1,Parameters!$E$17,Parameters!$E$18),0)</f>
        <v>6</v>
      </c>
      <c r="G27" s="26">
        <f t="shared" si="2"/>
        <v>1974</v>
      </c>
      <c r="H27" s="26">
        <f t="shared" si="3"/>
        <v>1953</v>
      </c>
      <c r="I27" s="26">
        <f t="shared" si="4"/>
        <v>1974</v>
      </c>
      <c r="J27" s="26">
        <f t="shared" si="5"/>
        <v>0</v>
      </c>
      <c r="K27" s="26">
        <f t="shared" si="6"/>
        <v>21</v>
      </c>
      <c r="L27" s="12" t="b">
        <f t="shared" si="7"/>
        <v>1</v>
      </c>
      <c r="N27" s="3">
        <f t="shared" si="8"/>
        <v>22</v>
      </c>
      <c r="O27" s="10">
        <f>IF(N27&lt;=Parameters!$C$10,1,0)</f>
        <v>0</v>
      </c>
      <c r="P27" s="3">
        <f t="shared" si="24"/>
        <v>383</v>
      </c>
      <c r="Q27" s="4">
        <f>Parameters!$C$20*O27</f>
        <v>0</v>
      </c>
      <c r="R27" s="4">
        <f>ROUND((Q27+P27)*Parameters!$E$23,0)</f>
        <v>2</v>
      </c>
      <c r="S27" s="3">
        <f t="shared" si="9"/>
        <v>381</v>
      </c>
      <c r="T27" s="3">
        <f t="shared" si="10"/>
        <v>383</v>
      </c>
      <c r="U27" s="3">
        <f t="shared" si="11"/>
        <v>381</v>
      </c>
      <c r="V27" s="19">
        <f t="shared" si="12"/>
        <v>2</v>
      </c>
      <c r="W27" s="19">
        <f t="shared" si="13"/>
        <v>0</v>
      </c>
      <c r="X27" s="12" t="b">
        <f t="shared" si="14"/>
        <v>1</v>
      </c>
      <c r="Z27" s="3">
        <f t="shared" si="15"/>
        <v>22</v>
      </c>
      <c r="AA27" s="27">
        <f>Parameters!$C$7</f>
        <v>2500</v>
      </c>
      <c r="AB27" s="26">
        <f t="shared" si="16"/>
        <v>1953</v>
      </c>
      <c r="AC27" s="26">
        <f t="shared" si="17"/>
        <v>383</v>
      </c>
      <c r="AD27" s="26">
        <f t="shared" si="18"/>
        <v>164</v>
      </c>
      <c r="AE27" s="26">
        <f t="shared" si="19"/>
        <v>2</v>
      </c>
      <c r="AF27" s="26">
        <f t="shared" si="0"/>
        <v>21</v>
      </c>
      <c r="AG27" s="26">
        <f t="shared" si="20"/>
        <v>145</v>
      </c>
      <c r="AH27" s="28">
        <f t="shared" si="21"/>
        <v>0</v>
      </c>
      <c r="AJ27" s="26">
        <f>IF(AG27&gt;=0,AF27*Parameters!$C$25,MAX(AD27+AE27,0)*Parameters!$C$25)</f>
        <v>1050000</v>
      </c>
      <c r="AK27" s="26">
        <f>IF(AG27&lt;0,-AG27*Parameters!$C$27,0)</f>
        <v>0</v>
      </c>
      <c r="AL27" s="26">
        <f>MAX(AG27,0)*Parameters!$C$26</f>
        <v>2175000</v>
      </c>
      <c r="AM27" s="29">
        <f t="shared" si="1"/>
        <v>3225000</v>
      </c>
    </row>
    <row r="28" spans="2:39" x14ac:dyDescent="0.25">
      <c r="B28" s="3">
        <f t="shared" si="22"/>
        <v>23</v>
      </c>
      <c r="C28" s="3">
        <f>IF(B28&lt;=Parameters!$C$9,1,2)</f>
        <v>2</v>
      </c>
      <c r="D28" s="26">
        <f t="shared" si="23"/>
        <v>1974</v>
      </c>
      <c r="E28" s="26">
        <f>ROUND(D28*IF(C28=1,Parameters!$E$13,Parameters!$E$14),0)</f>
        <v>27</v>
      </c>
      <c r="F28" s="26">
        <f>ROUND((E28+D28)*IF(C28=1,Parameters!$E$17,Parameters!$E$18),0)</f>
        <v>7</v>
      </c>
      <c r="G28" s="26">
        <f t="shared" si="2"/>
        <v>1994</v>
      </c>
      <c r="H28" s="26">
        <f t="shared" si="3"/>
        <v>1974</v>
      </c>
      <c r="I28" s="26">
        <f t="shared" si="4"/>
        <v>1994</v>
      </c>
      <c r="J28" s="26">
        <f t="shared" si="5"/>
        <v>0</v>
      </c>
      <c r="K28" s="26">
        <f t="shared" si="6"/>
        <v>20</v>
      </c>
      <c r="L28" s="12" t="b">
        <f t="shared" si="7"/>
        <v>1</v>
      </c>
      <c r="N28" s="3">
        <f t="shared" si="8"/>
        <v>23</v>
      </c>
      <c r="O28" s="10">
        <f>IF(N28&lt;=Parameters!$C$10,1,0)</f>
        <v>0</v>
      </c>
      <c r="P28" s="3">
        <f t="shared" si="24"/>
        <v>381</v>
      </c>
      <c r="Q28" s="4">
        <f>Parameters!$C$20*O28</f>
        <v>0</v>
      </c>
      <c r="R28" s="4">
        <f>ROUND((Q28+P28)*Parameters!$E$23,0)</f>
        <v>2</v>
      </c>
      <c r="S28" s="3">
        <f t="shared" si="9"/>
        <v>379</v>
      </c>
      <c r="T28" s="3">
        <f t="shared" si="10"/>
        <v>381</v>
      </c>
      <c r="U28" s="3">
        <f t="shared" si="11"/>
        <v>379</v>
      </c>
      <c r="V28" s="19">
        <f t="shared" si="12"/>
        <v>2</v>
      </c>
      <c r="W28" s="19">
        <f t="shared" si="13"/>
        <v>0</v>
      </c>
      <c r="X28" s="12" t="b">
        <f t="shared" si="14"/>
        <v>1</v>
      </c>
      <c r="Z28" s="3">
        <f t="shared" si="15"/>
        <v>23</v>
      </c>
      <c r="AA28" s="27">
        <f>Parameters!$C$7</f>
        <v>2500</v>
      </c>
      <c r="AB28" s="26">
        <f t="shared" si="16"/>
        <v>1974</v>
      </c>
      <c r="AC28" s="26">
        <f t="shared" si="17"/>
        <v>381</v>
      </c>
      <c r="AD28" s="26">
        <f t="shared" si="18"/>
        <v>145</v>
      </c>
      <c r="AE28" s="26">
        <f t="shared" si="19"/>
        <v>2</v>
      </c>
      <c r="AF28" s="26">
        <f t="shared" si="0"/>
        <v>20</v>
      </c>
      <c r="AG28" s="26">
        <f t="shared" si="20"/>
        <v>127</v>
      </c>
      <c r="AH28" s="28">
        <f t="shared" si="21"/>
        <v>0</v>
      </c>
      <c r="AJ28" s="26">
        <f>IF(AG28&gt;=0,AF28*Parameters!$C$25,MAX(AD28+AE28,0)*Parameters!$C$25)</f>
        <v>1000000</v>
      </c>
      <c r="AK28" s="26">
        <f>IF(AG28&lt;0,-AG28*Parameters!$C$27,0)</f>
        <v>0</v>
      </c>
      <c r="AL28" s="26">
        <f>MAX(AG28,0)*Parameters!$C$26</f>
        <v>1905000</v>
      </c>
      <c r="AM28" s="29">
        <f t="shared" si="1"/>
        <v>2905000</v>
      </c>
    </row>
    <row r="29" spans="2:39" x14ac:dyDescent="0.25">
      <c r="B29" s="3">
        <f t="shared" si="22"/>
        <v>24</v>
      </c>
      <c r="C29" s="3">
        <f>IF(B29&lt;=Parameters!$C$9,1,2)</f>
        <v>2</v>
      </c>
      <c r="D29" s="26">
        <f t="shared" si="23"/>
        <v>1994</v>
      </c>
      <c r="E29" s="26">
        <f>ROUND(D29*IF(C29=1,Parameters!$E$13,Parameters!$E$14),0)</f>
        <v>28</v>
      </c>
      <c r="F29" s="26">
        <f>ROUND((E29+D29)*IF(C29=1,Parameters!$E$17,Parameters!$E$18),0)</f>
        <v>7</v>
      </c>
      <c r="G29" s="26">
        <f t="shared" si="2"/>
        <v>2015</v>
      </c>
      <c r="H29" s="26">
        <f t="shared" si="3"/>
        <v>1994</v>
      </c>
      <c r="I29" s="26">
        <f t="shared" si="4"/>
        <v>2015</v>
      </c>
      <c r="J29" s="26">
        <f t="shared" si="5"/>
        <v>0</v>
      </c>
      <c r="K29" s="26">
        <f t="shared" si="6"/>
        <v>21</v>
      </c>
      <c r="L29" s="12" t="b">
        <f t="shared" si="7"/>
        <v>1</v>
      </c>
      <c r="N29" s="3">
        <f t="shared" si="8"/>
        <v>24</v>
      </c>
      <c r="O29" s="10">
        <f>IF(N29&lt;=Parameters!$C$10,1,0)</f>
        <v>0</v>
      </c>
      <c r="P29" s="3">
        <f t="shared" si="24"/>
        <v>379</v>
      </c>
      <c r="Q29" s="4">
        <f>Parameters!$C$20*O29</f>
        <v>0</v>
      </c>
      <c r="R29" s="4">
        <f>ROUND((Q29+P29)*Parameters!$E$23,0)</f>
        <v>2</v>
      </c>
      <c r="S29" s="3">
        <f t="shared" si="9"/>
        <v>377</v>
      </c>
      <c r="T29" s="3">
        <f t="shared" si="10"/>
        <v>379</v>
      </c>
      <c r="U29" s="3">
        <f t="shared" si="11"/>
        <v>377</v>
      </c>
      <c r="V29" s="19">
        <f t="shared" si="12"/>
        <v>2</v>
      </c>
      <c r="W29" s="19">
        <f t="shared" si="13"/>
        <v>0</v>
      </c>
      <c r="X29" s="12" t="b">
        <f t="shared" si="14"/>
        <v>1</v>
      </c>
      <c r="Z29" s="3">
        <f t="shared" si="15"/>
        <v>24</v>
      </c>
      <c r="AA29" s="27">
        <f>Parameters!$C$7</f>
        <v>2500</v>
      </c>
      <c r="AB29" s="26">
        <f t="shared" si="16"/>
        <v>1994</v>
      </c>
      <c r="AC29" s="26">
        <f t="shared" si="17"/>
        <v>379</v>
      </c>
      <c r="AD29" s="26">
        <f t="shared" si="18"/>
        <v>127</v>
      </c>
      <c r="AE29" s="26">
        <f t="shared" si="19"/>
        <v>2</v>
      </c>
      <c r="AF29" s="26">
        <f t="shared" si="0"/>
        <v>21</v>
      </c>
      <c r="AG29" s="26">
        <f t="shared" si="20"/>
        <v>108</v>
      </c>
      <c r="AH29" s="28">
        <f t="shared" si="21"/>
        <v>0</v>
      </c>
      <c r="AJ29" s="26">
        <f>IF(AG29&gt;=0,AF29*Parameters!$C$25,MAX(AD29+AE29,0)*Parameters!$C$25)</f>
        <v>1050000</v>
      </c>
      <c r="AK29" s="26">
        <f>IF(AG29&lt;0,-AG29*Parameters!$C$27,0)</f>
        <v>0</v>
      </c>
      <c r="AL29" s="26">
        <f>MAX(AG29,0)*Parameters!$C$26</f>
        <v>1620000</v>
      </c>
      <c r="AM29" s="29">
        <f t="shared" si="1"/>
        <v>2670000</v>
      </c>
    </row>
    <row r="30" spans="2:39" x14ac:dyDescent="0.25">
      <c r="B30" s="3">
        <f>B29+1</f>
        <v>25</v>
      </c>
      <c r="C30" s="3">
        <f>IF(B30&lt;=Parameters!$C$9,1,2)</f>
        <v>2</v>
      </c>
      <c r="D30" s="26">
        <f t="shared" si="23"/>
        <v>2015</v>
      </c>
      <c r="E30" s="26">
        <f>ROUND(D30*IF(C30=1,Parameters!$E$13,Parameters!$E$14),0)</f>
        <v>28</v>
      </c>
      <c r="F30" s="26">
        <f>ROUND((E30+D30)*IF(C30=1,Parameters!$E$17,Parameters!$E$18),0)</f>
        <v>7</v>
      </c>
      <c r="G30" s="26">
        <f t="shared" si="2"/>
        <v>2036</v>
      </c>
      <c r="H30" s="26">
        <f t="shared" si="3"/>
        <v>2015</v>
      </c>
      <c r="I30" s="26">
        <f t="shared" si="4"/>
        <v>2036</v>
      </c>
      <c r="J30" s="26">
        <f t="shared" si="5"/>
        <v>0</v>
      </c>
      <c r="K30" s="26">
        <f t="shared" si="6"/>
        <v>21</v>
      </c>
      <c r="L30" s="12" t="b">
        <f t="shared" si="7"/>
        <v>1</v>
      </c>
      <c r="N30" s="3">
        <f t="shared" si="8"/>
        <v>25</v>
      </c>
      <c r="O30" s="10">
        <f>IF(N30&lt;=Parameters!$C$10,1,0)</f>
        <v>0</v>
      </c>
      <c r="P30" s="3">
        <f t="shared" si="24"/>
        <v>377</v>
      </c>
      <c r="Q30" s="4">
        <f>Parameters!$C$20*O30</f>
        <v>0</v>
      </c>
      <c r="R30" s="4">
        <f>ROUND((Q30+P30)*Parameters!$E$23,0)</f>
        <v>2</v>
      </c>
      <c r="S30" s="3">
        <f t="shared" si="9"/>
        <v>375</v>
      </c>
      <c r="T30" s="3">
        <f t="shared" si="10"/>
        <v>377</v>
      </c>
      <c r="U30" s="3">
        <f t="shared" si="11"/>
        <v>375</v>
      </c>
      <c r="V30" s="19">
        <f t="shared" si="12"/>
        <v>2</v>
      </c>
      <c r="W30" s="19">
        <f t="shared" si="13"/>
        <v>0</v>
      </c>
      <c r="X30" s="12" t="b">
        <f t="shared" si="14"/>
        <v>1</v>
      </c>
      <c r="Z30" s="3">
        <f t="shared" si="15"/>
        <v>25</v>
      </c>
      <c r="AA30" s="27">
        <f>Parameters!$C$7</f>
        <v>2500</v>
      </c>
      <c r="AB30" s="26">
        <f t="shared" si="16"/>
        <v>2015</v>
      </c>
      <c r="AC30" s="26">
        <f t="shared" si="17"/>
        <v>377</v>
      </c>
      <c r="AD30" s="26">
        <f t="shared" si="18"/>
        <v>108</v>
      </c>
      <c r="AE30" s="26">
        <f t="shared" si="19"/>
        <v>2</v>
      </c>
      <c r="AF30" s="26">
        <f t="shared" si="0"/>
        <v>21</v>
      </c>
      <c r="AG30" s="26">
        <f t="shared" si="20"/>
        <v>89</v>
      </c>
      <c r="AH30" s="28">
        <f t="shared" si="21"/>
        <v>0</v>
      </c>
      <c r="AJ30" s="26">
        <f>IF(AG30&gt;=0,AF30*Parameters!$C$25,MAX(AD30+AE30,0)*Parameters!$C$25)</f>
        <v>1050000</v>
      </c>
      <c r="AK30" s="26">
        <f>IF(AG30&lt;0,-AG30*Parameters!$C$27,0)</f>
        <v>0</v>
      </c>
      <c r="AL30" s="26">
        <f>MAX(AG30,0)*Parameters!$C$26</f>
        <v>1335000</v>
      </c>
      <c r="AM30" s="29">
        <f t="shared" si="1"/>
        <v>2385000</v>
      </c>
    </row>
    <row r="31" spans="2:39" x14ac:dyDescent="0.25">
      <c r="B31" s="3">
        <f t="shared" si="22"/>
        <v>26</v>
      </c>
      <c r="C31" s="3">
        <f>IF(B31&lt;=Parameters!$C$9,1,2)</f>
        <v>2</v>
      </c>
      <c r="D31" s="26">
        <f t="shared" si="23"/>
        <v>2036</v>
      </c>
      <c r="E31" s="26">
        <f>ROUND(D31*IF(C31=1,Parameters!$E$13,Parameters!$E$14),0)</f>
        <v>28</v>
      </c>
      <c r="F31" s="26">
        <f>ROUND((E31+D31)*IF(C31=1,Parameters!$E$17,Parameters!$E$18),0)</f>
        <v>7</v>
      </c>
      <c r="G31" s="26">
        <f t="shared" si="2"/>
        <v>2057</v>
      </c>
      <c r="H31" s="26">
        <f t="shared" si="3"/>
        <v>2036</v>
      </c>
      <c r="I31" s="26">
        <f t="shared" si="4"/>
        <v>2057</v>
      </c>
      <c r="J31" s="26">
        <f t="shared" si="5"/>
        <v>0</v>
      </c>
      <c r="K31" s="26">
        <f t="shared" si="6"/>
        <v>21</v>
      </c>
      <c r="L31" s="12" t="b">
        <f t="shared" si="7"/>
        <v>1</v>
      </c>
      <c r="N31" s="3">
        <f t="shared" si="8"/>
        <v>26</v>
      </c>
      <c r="O31" s="10">
        <f>IF(N31&lt;=Parameters!$C$10,1,0)</f>
        <v>0</v>
      </c>
      <c r="P31" s="3">
        <f t="shared" si="24"/>
        <v>375</v>
      </c>
      <c r="Q31" s="4">
        <f>Parameters!$C$20*O31</f>
        <v>0</v>
      </c>
      <c r="R31" s="4">
        <f>ROUND((Q31+P31)*Parameters!$E$23,0)</f>
        <v>2</v>
      </c>
      <c r="S31" s="3">
        <f t="shared" si="9"/>
        <v>373</v>
      </c>
      <c r="T31" s="3">
        <f t="shared" si="10"/>
        <v>375</v>
      </c>
      <c r="U31" s="3">
        <f t="shared" si="11"/>
        <v>373</v>
      </c>
      <c r="V31" s="19">
        <f t="shared" si="12"/>
        <v>2</v>
      </c>
      <c r="W31" s="19">
        <f t="shared" si="13"/>
        <v>0</v>
      </c>
      <c r="X31" s="12" t="b">
        <f t="shared" si="14"/>
        <v>1</v>
      </c>
      <c r="Z31" s="3">
        <f t="shared" si="15"/>
        <v>26</v>
      </c>
      <c r="AA31" s="27">
        <f>Parameters!$C$7</f>
        <v>2500</v>
      </c>
      <c r="AB31" s="26">
        <f t="shared" si="16"/>
        <v>2036</v>
      </c>
      <c r="AC31" s="26">
        <f t="shared" si="17"/>
        <v>375</v>
      </c>
      <c r="AD31" s="26">
        <f t="shared" si="18"/>
        <v>89</v>
      </c>
      <c r="AE31" s="26">
        <f t="shared" si="19"/>
        <v>2</v>
      </c>
      <c r="AF31" s="26">
        <f t="shared" si="0"/>
        <v>21</v>
      </c>
      <c r="AG31" s="26">
        <f t="shared" si="20"/>
        <v>70</v>
      </c>
      <c r="AH31" s="28">
        <f t="shared" si="21"/>
        <v>0</v>
      </c>
      <c r="AJ31" s="26">
        <f>IF(AG31&gt;=0,AF31*Parameters!$C$25,MAX(AD31+AE31,0)*Parameters!$C$25)</f>
        <v>1050000</v>
      </c>
      <c r="AK31" s="26">
        <f>IF(AG31&lt;0,-AG31*Parameters!$C$27,0)</f>
        <v>0</v>
      </c>
      <c r="AL31" s="26">
        <f>MAX(AG31,0)*Parameters!$C$26</f>
        <v>1050000</v>
      </c>
      <c r="AM31" s="29">
        <f t="shared" si="1"/>
        <v>2100000</v>
      </c>
    </row>
    <row r="32" spans="2:39" x14ac:dyDescent="0.25">
      <c r="B32" s="3">
        <f t="shared" si="22"/>
        <v>27</v>
      </c>
      <c r="C32" s="3">
        <f>IF(B32&lt;=Parameters!$C$9,1,2)</f>
        <v>2</v>
      </c>
      <c r="D32" s="26">
        <f t="shared" si="23"/>
        <v>2057</v>
      </c>
      <c r="E32" s="26">
        <f>ROUND(D32*IF(C32=1,Parameters!$E$13,Parameters!$E$14),0)</f>
        <v>29</v>
      </c>
      <c r="F32" s="26">
        <f>ROUND((E32+D32)*IF(C32=1,Parameters!$E$17,Parameters!$E$18),0)</f>
        <v>7</v>
      </c>
      <c r="G32" s="26">
        <f t="shared" si="2"/>
        <v>2079</v>
      </c>
      <c r="H32" s="26">
        <f t="shared" si="3"/>
        <v>2057</v>
      </c>
      <c r="I32" s="26">
        <f t="shared" si="4"/>
        <v>2079</v>
      </c>
      <c r="J32" s="26">
        <f t="shared" si="5"/>
        <v>0</v>
      </c>
      <c r="K32" s="26">
        <f t="shared" si="6"/>
        <v>22</v>
      </c>
      <c r="L32" s="12" t="b">
        <f t="shared" si="7"/>
        <v>1</v>
      </c>
      <c r="N32" s="3">
        <f t="shared" si="8"/>
        <v>27</v>
      </c>
      <c r="O32" s="10">
        <f>IF(N32&lt;=Parameters!$C$10,1,0)</f>
        <v>0</v>
      </c>
      <c r="P32" s="3">
        <f t="shared" si="24"/>
        <v>373</v>
      </c>
      <c r="Q32" s="4">
        <f>Parameters!$C$20*O32</f>
        <v>0</v>
      </c>
      <c r="R32" s="4">
        <f>ROUND((Q32+P32)*Parameters!$E$23,0)</f>
        <v>2</v>
      </c>
      <c r="S32" s="3">
        <f t="shared" si="9"/>
        <v>371</v>
      </c>
      <c r="T32" s="3">
        <f t="shared" si="10"/>
        <v>373</v>
      </c>
      <c r="U32" s="3">
        <f t="shared" si="11"/>
        <v>371</v>
      </c>
      <c r="V32" s="19">
        <f t="shared" si="12"/>
        <v>2</v>
      </c>
      <c r="W32" s="19">
        <f t="shared" si="13"/>
        <v>0</v>
      </c>
      <c r="X32" s="12" t="b">
        <f t="shared" si="14"/>
        <v>1</v>
      </c>
      <c r="Z32" s="3">
        <f t="shared" si="15"/>
        <v>27</v>
      </c>
      <c r="AA32" s="27">
        <f>Parameters!$C$7</f>
        <v>2500</v>
      </c>
      <c r="AB32" s="26">
        <f t="shared" si="16"/>
        <v>2057</v>
      </c>
      <c r="AC32" s="26">
        <f t="shared" si="17"/>
        <v>373</v>
      </c>
      <c r="AD32" s="26">
        <f t="shared" si="18"/>
        <v>70</v>
      </c>
      <c r="AE32" s="26">
        <f t="shared" si="19"/>
        <v>2</v>
      </c>
      <c r="AF32" s="26">
        <f t="shared" si="0"/>
        <v>22</v>
      </c>
      <c r="AG32" s="26">
        <f t="shared" si="20"/>
        <v>50</v>
      </c>
      <c r="AH32" s="28">
        <f t="shared" si="21"/>
        <v>0</v>
      </c>
      <c r="AJ32" s="26">
        <f>IF(AG32&gt;=0,AF32*Parameters!$C$25,MAX(AD32+AE32,0)*Parameters!$C$25)</f>
        <v>1100000</v>
      </c>
      <c r="AK32" s="26">
        <f>IF(AG32&lt;0,-AG32*Parameters!$C$27,0)</f>
        <v>0</v>
      </c>
      <c r="AL32" s="26">
        <f>MAX(AG32,0)*Parameters!$C$26</f>
        <v>750000</v>
      </c>
      <c r="AM32" s="29">
        <f t="shared" si="1"/>
        <v>1850000</v>
      </c>
    </row>
    <row r="33" spans="2:39" x14ac:dyDescent="0.25">
      <c r="B33" s="3">
        <f t="shared" si="22"/>
        <v>28</v>
      </c>
      <c r="C33" s="3">
        <f>IF(B33&lt;=Parameters!$C$9,1,2)</f>
        <v>2</v>
      </c>
      <c r="D33" s="26">
        <f t="shared" si="23"/>
        <v>2079</v>
      </c>
      <c r="E33" s="26">
        <f>ROUND(D33*IF(C33=1,Parameters!$E$13,Parameters!$E$14),0)</f>
        <v>29</v>
      </c>
      <c r="F33" s="26">
        <f>ROUND((E33+D33)*IF(C33=1,Parameters!$E$17,Parameters!$E$18),0)</f>
        <v>7</v>
      </c>
      <c r="G33" s="26">
        <f t="shared" si="2"/>
        <v>2101</v>
      </c>
      <c r="H33" s="26">
        <f t="shared" si="3"/>
        <v>2079</v>
      </c>
      <c r="I33" s="26">
        <f t="shared" si="4"/>
        <v>2101</v>
      </c>
      <c r="J33" s="26">
        <f t="shared" si="5"/>
        <v>0</v>
      </c>
      <c r="K33" s="26">
        <f t="shared" si="6"/>
        <v>22</v>
      </c>
      <c r="L33" s="12" t="b">
        <f t="shared" si="7"/>
        <v>1</v>
      </c>
      <c r="N33" s="3">
        <f t="shared" si="8"/>
        <v>28</v>
      </c>
      <c r="O33" s="10">
        <f>IF(N33&lt;=Parameters!$C$10,1,0)</f>
        <v>0</v>
      </c>
      <c r="P33" s="3">
        <f t="shared" si="24"/>
        <v>371</v>
      </c>
      <c r="Q33" s="4">
        <f>Parameters!$C$20*O33</f>
        <v>0</v>
      </c>
      <c r="R33" s="4">
        <f>ROUND((Q33+P33)*Parameters!$E$23,0)</f>
        <v>2</v>
      </c>
      <c r="S33" s="3">
        <f t="shared" si="9"/>
        <v>369</v>
      </c>
      <c r="T33" s="3">
        <f t="shared" si="10"/>
        <v>371</v>
      </c>
      <c r="U33" s="3">
        <f t="shared" si="11"/>
        <v>369</v>
      </c>
      <c r="V33" s="19">
        <f t="shared" si="12"/>
        <v>2</v>
      </c>
      <c r="W33" s="19">
        <f t="shared" si="13"/>
        <v>0</v>
      </c>
      <c r="X33" s="12" t="b">
        <f t="shared" si="14"/>
        <v>1</v>
      </c>
      <c r="Z33" s="3">
        <f t="shared" si="15"/>
        <v>28</v>
      </c>
      <c r="AA33" s="27">
        <f>Parameters!$C$7</f>
        <v>2500</v>
      </c>
      <c r="AB33" s="26">
        <f t="shared" si="16"/>
        <v>2079</v>
      </c>
      <c r="AC33" s="26">
        <f t="shared" si="17"/>
        <v>371</v>
      </c>
      <c r="AD33" s="26">
        <f t="shared" si="18"/>
        <v>50</v>
      </c>
      <c r="AE33" s="26">
        <f t="shared" si="19"/>
        <v>2</v>
      </c>
      <c r="AF33" s="26">
        <f t="shared" si="0"/>
        <v>22</v>
      </c>
      <c r="AG33" s="26">
        <f t="shared" si="20"/>
        <v>30</v>
      </c>
      <c r="AH33" s="28">
        <f t="shared" si="21"/>
        <v>0</v>
      </c>
      <c r="AJ33" s="26">
        <f>IF(AG33&gt;=0,AF33*Parameters!$C$25,MAX(AD33+AE33,0)*Parameters!$C$25)</f>
        <v>1100000</v>
      </c>
      <c r="AK33" s="26">
        <f>IF(AG33&lt;0,-AG33*Parameters!$C$27,0)</f>
        <v>0</v>
      </c>
      <c r="AL33" s="26">
        <f>MAX(AG33,0)*Parameters!$C$26</f>
        <v>450000</v>
      </c>
      <c r="AM33" s="29">
        <f t="shared" si="1"/>
        <v>1550000</v>
      </c>
    </row>
    <row r="34" spans="2:39" x14ac:dyDescent="0.25">
      <c r="B34" s="3">
        <f t="shared" si="22"/>
        <v>29</v>
      </c>
      <c r="C34" s="3">
        <f>IF(B34&lt;=Parameters!$C$9,1,2)</f>
        <v>2</v>
      </c>
      <c r="D34" s="26">
        <f t="shared" si="23"/>
        <v>2101</v>
      </c>
      <c r="E34" s="26">
        <f>ROUND(D34*IF(C34=1,Parameters!$E$13,Parameters!$E$14),0)</f>
        <v>29</v>
      </c>
      <c r="F34" s="26">
        <f>ROUND((E34+D34)*IF(C34=1,Parameters!$E$17,Parameters!$E$18),0)</f>
        <v>7</v>
      </c>
      <c r="G34" s="26">
        <f t="shared" si="2"/>
        <v>2123</v>
      </c>
      <c r="H34" s="26">
        <f t="shared" si="3"/>
        <v>2101</v>
      </c>
      <c r="I34" s="26">
        <f t="shared" si="4"/>
        <v>2123</v>
      </c>
      <c r="J34" s="26">
        <f t="shared" si="5"/>
        <v>0</v>
      </c>
      <c r="K34" s="26">
        <f t="shared" si="6"/>
        <v>22</v>
      </c>
      <c r="L34" s="12" t="b">
        <f t="shared" si="7"/>
        <v>1</v>
      </c>
      <c r="N34" s="3">
        <f t="shared" si="8"/>
        <v>29</v>
      </c>
      <c r="O34" s="10">
        <f>IF(N34&lt;=Parameters!$C$10,1,0)</f>
        <v>0</v>
      </c>
      <c r="P34" s="3">
        <f t="shared" si="24"/>
        <v>369</v>
      </c>
      <c r="Q34" s="4">
        <f>Parameters!$C$20*O34</f>
        <v>0</v>
      </c>
      <c r="R34" s="4">
        <f>ROUND((Q34+P34)*Parameters!$E$23,0)</f>
        <v>2</v>
      </c>
      <c r="S34" s="3">
        <f t="shared" si="9"/>
        <v>367</v>
      </c>
      <c r="T34" s="3">
        <f t="shared" si="10"/>
        <v>369</v>
      </c>
      <c r="U34" s="3">
        <f t="shared" si="11"/>
        <v>367</v>
      </c>
      <c r="V34" s="19">
        <f t="shared" si="12"/>
        <v>2</v>
      </c>
      <c r="W34" s="19">
        <f t="shared" si="13"/>
        <v>0</v>
      </c>
      <c r="X34" s="12" t="b">
        <f t="shared" si="14"/>
        <v>1</v>
      </c>
      <c r="Z34" s="3">
        <f t="shared" si="15"/>
        <v>29</v>
      </c>
      <c r="AA34" s="27">
        <f>Parameters!$C$7</f>
        <v>2500</v>
      </c>
      <c r="AB34" s="26">
        <f t="shared" si="16"/>
        <v>2101</v>
      </c>
      <c r="AC34" s="26">
        <f t="shared" si="17"/>
        <v>369</v>
      </c>
      <c r="AD34" s="26">
        <f t="shared" si="18"/>
        <v>30</v>
      </c>
      <c r="AE34" s="26">
        <f t="shared" si="19"/>
        <v>2</v>
      </c>
      <c r="AF34" s="26">
        <f t="shared" si="0"/>
        <v>22</v>
      </c>
      <c r="AG34" s="26">
        <f t="shared" si="20"/>
        <v>10</v>
      </c>
      <c r="AH34" s="28">
        <f t="shared" si="21"/>
        <v>0</v>
      </c>
      <c r="AJ34" s="26">
        <f>IF(AG34&gt;=0,AF34*Parameters!$C$25,MAX(AD34+AE34,0)*Parameters!$C$25)</f>
        <v>1100000</v>
      </c>
      <c r="AK34" s="26">
        <f>IF(AG34&lt;0,-AG34*Parameters!$C$27,0)</f>
        <v>0</v>
      </c>
      <c r="AL34" s="26">
        <f>MAX(AG34,0)*Parameters!$C$26</f>
        <v>150000</v>
      </c>
      <c r="AM34" s="29">
        <f t="shared" si="1"/>
        <v>1250000</v>
      </c>
    </row>
    <row r="35" spans="2:39" x14ac:dyDescent="0.25">
      <c r="B35" s="3">
        <f t="shared" si="22"/>
        <v>30</v>
      </c>
      <c r="C35" s="3">
        <f>IF(B35&lt;=Parameters!$C$9,1,2)</f>
        <v>2</v>
      </c>
      <c r="D35" s="26">
        <f t="shared" si="23"/>
        <v>2123</v>
      </c>
      <c r="E35" s="26">
        <f>ROUND(D35*IF(C35=1,Parameters!$E$13,Parameters!$E$14),0)</f>
        <v>29</v>
      </c>
      <c r="F35" s="26">
        <f>ROUND((E35+D35)*IF(C35=1,Parameters!$E$17,Parameters!$E$18),0)</f>
        <v>7</v>
      </c>
      <c r="G35" s="26">
        <f t="shared" si="2"/>
        <v>2145</v>
      </c>
      <c r="H35" s="26">
        <f t="shared" si="3"/>
        <v>2123</v>
      </c>
      <c r="I35" s="26">
        <f t="shared" si="4"/>
        <v>2145</v>
      </c>
      <c r="J35" s="26">
        <f t="shared" si="5"/>
        <v>0</v>
      </c>
      <c r="K35" s="26">
        <f t="shared" si="6"/>
        <v>22</v>
      </c>
      <c r="L35" s="12" t="b">
        <f t="shared" si="7"/>
        <v>1</v>
      </c>
      <c r="N35" s="3">
        <f t="shared" si="8"/>
        <v>30</v>
      </c>
      <c r="O35" s="10">
        <f>IF(N35&lt;=Parameters!$C$10,1,0)</f>
        <v>0</v>
      </c>
      <c r="P35" s="3">
        <f t="shared" si="24"/>
        <v>367</v>
      </c>
      <c r="Q35" s="4">
        <f>Parameters!$C$20*O35</f>
        <v>0</v>
      </c>
      <c r="R35" s="4">
        <f>ROUND((Q35+P35)*Parameters!$E$23,0)</f>
        <v>1</v>
      </c>
      <c r="S35" s="3">
        <f t="shared" si="9"/>
        <v>366</v>
      </c>
      <c r="T35" s="3">
        <f t="shared" si="10"/>
        <v>367</v>
      </c>
      <c r="U35" s="3">
        <f t="shared" si="11"/>
        <v>366</v>
      </c>
      <c r="V35" s="19">
        <f t="shared" si="12"/>
        <v>1</v>
      </c>
      <c r="W35" s="19">
        <f t="shared" si="13"/>
        <v>0</v>
      </c>
      <c r="X35" s="12" t="b">
        <f t="shared" si="14"/>
        <v>1</v>
      </c>
      <c r="Z35" s="3">
        <f t="shared" si="15"/>
        <v>30</v>
      </c>
      <c r="AA35" s="27">
        <f>Parameters!$C$7</f>
        <v>2500</v>
      </c>
      <c r="AB35" s="26">
        <f t="shared" si="16"/>
        <v>2123</v>
      </c>
      <c r="AC35" s="26">
        <f t="shared" si="17"/>
        <v>367</v>
      </c>
      <c r="AD35" s="26">
        <f t="shared" si="18"/>
        <v>10</v>
      </c>
      <c r="AE35" s="26">
        <f t="shared" si="19"/>
        <v>1</v>
      </c>
      <c r="AF35" s="26">
        <f t="shared" si="0"/>
        <v>22</v>
      </c>
      <c r="AG35" s="26">
        <f t="shared" si="20"/>
        <v>-11</v>
      </c>
      <c r="AH35" s="28">
        <f t="shared" si="21"/>
        <v>0</v>
      </c>
      <c r="AJ35" s="26">
        <f>IF(AG35&gt;=0,AF35*Parameters!$C$25,MAX(AD35+AE35,0)*Parameters!$C$25)</f>
        <v>550000</v>
      </c>
      <c r="AK35" s="26">
        <f>IF(AG35&lt;0,-AG35*Parameters!$C$27,0)</f>
        <v>1155000</v>
      </c>
      <c r="AL35" s="26">
        <f>MAX(AG35,0)*Parameters!$C$26</f>
        <v>0</v>
      </c>
      <c r="AM35" s="29">
        <f t="shared" si="1"/>
        <v>1705000</v>
      </c>
    </row>
    <row r="36" spans="2:39" x14ac:dyDescent="0.25">
      <c r="B36" s="3">
        <f t="shared" si="22"/>
        <v>31</v>
      </c>
      <c r="C36" s="3">
        <f>IF(B36&lt;=Parameters!$C$9,1,2)</f>
        <v>2</v>
      </c>
      <c r="D36" s="26">
        <f t="shared" si="23"/>
        <v>2145</v>
      </c>
      <c r="E36" s="26">
        <f>ROUND(D36*IF(C36=1,Parameters!$E$13,Parameters!$E$14),0)</f>
        <v>30</v>
      </c>
      <c r="F36" s="26">
        <f>ROUND((E36+D36)*IF(C36=1,Parameters!$E$17,Parameters!$E$18),0)</f>
        <v>7</v>
      </c>
      <c r="G36" s="26">
        <f t="shared" si="2"/>
        <v>2168</v>
      </c>
      <c r="H36" s="26">
        <f t="shared" si="3"/>
        <v>2145</v>
      </c>
      <c r="I36" s="26">
        <f t="shared" si="4"/>
        <v>2168</v>
      </c>
      <c r="J36" s="26">
        <f t="shared" si="5"/>
        <v>0</v>
      </c>
      <c r="K36" s="26">
        <f t="shared" si="6"/>
        <v>23</v>
      </c>
      <c r="L36" s="12" t="b">
        <f t="shared" si="7"/>
        <v>1</v>
      </c>
      <c r="N36" s="3">
        <f t="shared" si="8"/>
        <v>31</v>
      </c>
      <c r="O36" s="10">
        <f>IF(N36&lt;=Parameters!$C$10,1,0)</f>
        <v>0</v>
      </c>
      <c r="P36" s="3">
        <f t="shared" si="24"/>
        <v>366</v>
      </c>
      <c r="Q36" s="4">
        <f>Parameters!$C$20*O36</f>
        <v>0</v>
      </c>
      <c r="R36" s="4">
        <f>ROUND((Q36+P36)*Parameters!$E$23,0)</f>
        <v>1</v>
      </c>
      <c r="S36" s="3">
        <f t="shared" si="9"/>
        <v>365</v>
      </c>
      <c r="T36" s="3">
        <f t="shared" si="10"/>
        <v>366</v>
      </c>
      <c r="U36" s="3">
        <f t="shared" si="11"/>
        <v>365</v>
      </c>
      <c r="V36" s="19">
        <f t="shared" si="12"/>
        <v>1</v>
      </c>
      <c r="W36" s="19">
        <f t="shared" si="13"/>
        <v>0</v>
      </c>
      <c r="X36" s="12" t="b">
        <f t="shared" si="14"/>
        <v>1</v>
      </c>
      <c r="Z36" s="3">
        <f t="shared" si="15"/>
        <v>31</v>
      </c>
      <c r="AA36" s="27">
        <f>Parameters!$C$7</f>
        <v>2500</v>
      </c>
      <c r="AB36" s="26">
        <f t="shared" si="16"/>
        <v>2145</v>
      </c>
      <c r="AC36" s="26">
        <f t="shared" si="17"/>
        <v>366</v>
      </c>
      <c r="AD36" s="26">
        <f t="shared" si="18"/>
        <v>-11</v>
      </c>
      <c r="AE36" s="26">
        <f t="shared" si="19"/>
        <v>1</v>
      </c>
      <c r="AF36" s="26">
        <f t="shared" si="0"/>
        <v>23</v>
      </c>
      <c r="AG36" s="26">
        <f t="shared" si="20"/>
        <v>-33</v>
      </c>
      <c r="AH36" s="28">
        <f t="shared" si="21"/>
        <v>0</v>
      </c>
      <c r="AJ36" s="26">
        <f>IF(AG36&gt;=0,AF36*Parameters!$C$25,MAX(AD36+AE36,0)*Parameters!$C$25)</f>
        <v>0</v>
      </c>
      <c r="AK36" s="26">
        <f>IF(AG36&lt;0,-AG36*Parameters!$C$27,0)</f>
        <v>3465000</v>
      </c>
      <c r="AL36" s="26">
        <f>MAX(AG36,0)*Parameters!$C$26</f>
        <v>0</v>
      </c>
      <c r="AM36" s="29">
        <f t="shared" si="1"/>
        <v>3465000</v>
      </c>
    </row>
    <row r="37" spans="2:39" x14ac:dyDescent="0.25">
      <c r="B37" s="3">
        <f t="shared" si="22"/>
        <v>32</v>
      </c>
      <c r="C37" s="3">
        <f>IF(B37&lt;=Parameters!$C$9,1,2)</f>
        <v>2</v>
      </c>
      <c r="D37" s="26">
        <f t="shared" si="23"/>
        <v>2168</v>
      </c>
      <c r="E37" s="26">
        <f>ROUND(D37*IF(C37=1,Parameters!$E$13,Parameters!$E$14),0)</f>
        <v>30</v>
      </c>
      <c r="F37" s="26">
        <f>ROUND((E37+D37)*IF(C37=1,Parameters!$E$17,Parameters!$E$18),0)</f>
        <v>7</v>
      </c>
      <c r="G37" s="26">
        <f t="shared" si="2"/>
        <v>2191</v>
      </c>
      <c r="H37" s="26">
        <f t="shared" si="3"/>
        <v>2168</v>
      </c>
      <c r="I37" s="26">
        <f t="shared" si="4"/>
        <v>2191</v>
      </c>
      <c r="J37" s="26">
        <f t="shared" si="5"/>
        <v>0</v>
      </c>
      <c r="K37" s="26">
        <f t="shared" si="6"/>
        <v>23</v>
      </c>
      <c r="L37" s="12" t="b">
        <f t="shared" si="7"/>
        <v>1</v>
      </c>
      <c r="N37" s="3">
        <f t="shared" si="8"/>
        <v>32</v>
      </c>
      <c r="O37" s="10">
        <f>IF(N37&lt;=Parameters!$C$10,1,0)</f>
        <v>0</v>
      </c>
      <c r="P37" s="3">
        <f t="shared" si="24"/>
        <v>365</v>
      </c>
      <c r="Q37" s="4">
        <f>Parameters!$C$20*O37</f>
        <v>0</v>
      </c>
      <c r="R37" s="4">
        <f>ROUND((Q37+P37)*Parameters!$E$23,0)</f>
        <v>1</v>
      </c>
      <c r="S37" s="3">
        <f t="shared" si="9"/>
        <v>364</v>
      </c>
      <c r="T37" s="3">
        <f t="shared" si="10"/>
        <v>365</v>
      </c>
      <c r="U37" s="3">
        <f t="shared" si="11"/>
        <v>364</v>
      </c>
      <c r="V37" s="19">
        <f t="shared" si="12"/>
        <v>1</v>
      </c>
      <c r="W37" s="19">
        <f t="shared" si="13"/>
        <v>0</v>
      </c>
      <c r="X37" s="12" t="b">
        <f t="shared" si="14"/>
        <v>1</v>
      </c>
      <c r="Z37" s="3">
        <f t="shared" si="15"/>
        <v>32</v>
      </c>
      <c r="AA37" s="27">
        <f>Parameters!$C$7</f>
        <v>2500</v>
      </c>
      <c r="AB37" s="26">
        <f t="shared" si="16"/>
        <v>2168</v>
      </c>
      <c r="AC37" s="26">
        <f t="shared" si="17"/>
        <v>365</v>
      </c>
      <c r="AD37" s="26">
        <f t="shared" si="18"/>
        <v>-33</v>
      </c>
      <c r="AE37" s="26">
        <f t="shared" si="19"/>
        <v>1</v>
      </c>
      <c r="AF37" s="26">
        <f t="shared" si="0"/>
        <v>23</v>
      </c>
      <c r="AG37" s="26">
        <f t="shared" si="20"/>
        <v>-55</v>
      </c>
      <c r="AH37" s="28">
        <f t="shared" si="21"/>
        <v>0</v>
      </c>
      <c r="AJ37" s="26">
        <f>IF(AG37&gt;=0,AF37*Parameters!$C$25,MAX(AD37+AE37,0)*Parameters!$C$25)</f>
        <v>0</v>
      </c>
      <c r="AK37" s="26">
        <f>IF(AG37&lt;0,-AG37*Parameters!$C$27,0)</f>
        <v>5775000</v>
      </c>
      <c r="AL37" s="26">
        <f>MAX(AG37,0)*Parameters!$C$26</f>
        <v>0</v>
      </c>
      <c r="AM37" s="29">
        <f t="shared" si="1"/>
        <v>5775000</v>
      </c>
    </row>
    <row r="38" spans="2:39" x14ac:dyDescent="0.25">
      <c r="B38" s="3">
        <f t="shared" si="22"/>
        <v>33</v>
      </c>
      <c r="C38" s="3">
        <f>IF(B38&lt;=Parameters!$C$9,1,2)</f>
        <v>2</v>
      </c>
      <c r="D38" s="26">
        <f t="shared" si="23"/>
        <v>2191</v>
      </c>
      <c r="E38" s="26">
        <f>ROUND(D38*IF(C38=1,Parameters!$E$13,Parameters!$E$14),0)</f>
        <v>30</v>
      </c>
      <c r="F38" s="26">
        <f>ROUND((E38+D38)*IF(C38=1,Parameters!$E$17,Parameters!$E$18),0)</f>
        <v>7</v>
      </c>
      <c r="G38" s="26">
        <f t="shared" si="2"/>
        <v>2214</v>
      </c>
      <c r="H38" s="26">
        <f t="shared" si="3"/>
        <v>2191</v>
      </c>
      <c r="I38" s="26">
        <f t="shared" si="4"/>
        <v>2214</v>
      </c>
      <c r="J38" s="26">
        <f t="shared" si="5"/>
        <v>0</v>
      </c>
      <c r="K38" s="26">
        <f t="shared" si="6"/>
        <v>23</v>
      </c>
      <c r="L38" s="12" t="b">
        <f t="shared" si="7"/>
        <v>1</v>
      </c>
      <c r="N38" s="3">
        <f t="shared" si="8"/>
        <v>33</v>
      </c>
      <c r="O38" s="10">
        <f>IF(N38&lt;=Parameters!$C$10,1,0)</f>
        <v>0</v>
      </c>
      <c r="P38" s="3">
        <f t="shared" si="24"/>
        <v>364</v>
      </c>
      <c r="Q38" s="4">
        <f>Parameters!$C$20*O38</f>
        <v>0</v>
      </c>
      <c r="R38" s="4">
        <f>ROUND((Q38+P38)*Parameters!$E$23,0)</f>
        <v>1</v>
      </c>
      <c r="S38" s="3">
        <f t="shared" si="9"/>
        <v>363</v>
      </c>
      <c r="T38" s="3">
        <f t="shared" si="10"/>
        <v>364</v>
      </c>
      <c r="U38" s="3">
        <f t="shared" si="11"/>
        <v>363</v>
      </c>
      <c r="V38" s="19">
        <f t="shared" si="12"/>
        <v>1</v>
      </c>
      <c r="W38" s="19">
        <f t="shared" si="13"/>
        <v>0</v>
      </c>
      <c r="X38" s="12" t="b">
        <f t="shared" si="14"/>
        <v>1</v>
      </c>
      <c r="Z38" s="3">
        <f t="shared" si="15"/>
        <v>33</v>
      </c>
      <c r="AA38" s="27">
        <f>Parameters!$C$7</f>
        <v>2500</v>
      </c>
      <c r="AB38" s="26">
        <f t="shared" si="16"/>
        <v>2191</v>
      </c>
      <c r="AC38" s="26">
        <f t="shared" si="17"/>
        <v>364</v>
      </c>
      <c r="AD38" s="26">
        <f t="shared" si="18"/>
        <v>-55</v>
      </c>
      <c r="AE38" s="26">
        <f t="shared" si="19"/>
        <v>1</v>
      </c>
      <c r="AF38" s="26">
        <f t="shared" si="0"/>
        <v>23</v>
      </c>
      <c r="AG38" s="26">
        <f t="shared" si="20"/>
        <v>-77</v>
      </c>
      <c r="AH38" s="28">
        <f t="shared" si="21"/>
        <v>0</v>
      </c>
      <c r="AJ38" s="26">
        <f>IF(AG38&gt;=0,AF38*Parameters!$C$25,MAX(AD38+AE38,0)*Parameters!$C$25)</f>
        <v>0</v>
      </c>
      <c r="AK38" s="26">
        <f>IF(AG38&lt;0,-AG38*Parameters!$C$27,0)</f>
        <v>8085000</v>
      </c>
      <c r="AL38" s="26">
        <f>MAX(AG38,0)*Parameters!$C$26</f>
        <v>0</v>
      </c>
      <c r="AM38" s="29">
        <f t="shared" si="1"/>
        <v>8085000</v>
      </c>
    </row>
    <row r="39" spans="2:39" x14ac:dyDescent="0.25">
      <c r="B39" s="3">
        <f t="shared" si="22"/>
        <v>34</v>
      </c>
      <c r="C39" s="3">
        <f>IF(B39&lt;=Parameters!$C$9,1,2)</f>
        <v>2</v>
      </c>
      <c r="D39" s="26">
        <f t="shared" si="23"/>
        <v>2214</v>
      </c>
      <c r="E39" s="26">
        <f>ROUND(D39*IF(C39=1,Parameters!$E$13,Parameters!$E$14),0)</f>
        <v>31</v>
      </c>
      <c r="F39" s="26">
        <f>ROUND((E39+D39)*IF(C39=1,Parameters!$E$17,Parameters!$E$18),0)</f>
        <v>7</v>
      </c>
      <c r="G39" s="26">
        <f t="shared" si="2"/>
        <v>2238</v>
      </c>
      <c r="H39" s="26">
        <f t="shared" si="3"/>
        <v>2214</v>
      </c>
      <c r="I39" s="26">
        <f t="shared" si="4"/>
        <v>2238</v>
      </c>
      <c r="J39" s="26">
        <f t="shared" si="5"/>
        <v>0</v>
      </c>
      <c r="K39" s="26">
        <f t="shared" si="6"/>
        <v>24</v>
      </c>
      <c r="L39" s="12" t="b">
        <f t="shared" si="7"/>
        <v>1</v>
      </c>
      <c r="N39" s="3">
        <f t="shared" si="8"/>
        <v>34</v>
      </c>
      <c r="O39" s="10">
        <f>IF(N39&lt;=Parameters!$C$10,1,0)</f>
        <v>0</v>
      </c>
      <c r="P39" s="3">
        <f t="shared" si="24"/>
        <v>363</v>
      </c>
      <c r="Q39" s="4">
        <f>Parameters!$C$20*O39</f>
        <v>0</v>
      </c>
      <c r="R39" s="4">
        <f>ROUND((Q39+P39)*Parameters!$E$23,0)</f>
        <v>1</v>
      </c>
      <c r="S39" s="3">
        <f t="shared" si="9"/>
        <v>362</v>
      </c>
      <c r="T39" s="3">
        <f t="shared" si="10"/>
        <v>363</v>
      </c>
      <c r="U39" s="3">
        <f t="shared" si="11"/>
        <v>362</v>
      </c>
      <c r="V39" s="19">
        <f t="shared" si="12"/>
        <v>1</v>
      </c>
      <c r="W39" s="19">
        <f t="shared" si="13"/>
        <v>0</v>
      </c>
      <c r="X39" s="12" t="b">
        <f t="shared" si="14"/>
        <v>1</v>
      </c>
      <c r="Z39" s="3">
        <f t="shared" si="15"/>
        <v>34</v>
      </c>
      <c r="AA39" s="27">
        <f>Parameters!$C$7</f>
        <v>2500</v>
      </c>
      <c r="AB39" s="26">
        <f t="shared" si="16"/>
        <v>2214</v>
      </c>
      <c r="AC39" s="26">
        <f t="shared" si="17"/>
        <v>363</v>
      </c>
      <c r="AD39" s="26">
        <f t="shared" si="18"/>
        <v>-77</v>
      </c>
      <c r="AE39" s="26">
        <f t="shared" si="19"/>
        <v>1</v>
      </c>
      <c r="AF39" s="26">
        <f t="shared" si="0"/>
        <v>24</v>
      </c>
      <c r="AG39" s="26">
        <f t="shared" si="20"/>
        <v>-100</v>
      </c>
      <c r="AH39" s="28">
        <f t="shared" si="21"/>
        <v>0</v>
      </c>
      <c r="AJ39" s="26">
        <f>IF(AG39&gt;=0,AF39*Parameters!$C$25,MAX(AD39+AE39,0)*Parameters!$C$25)</f>
        <v>0</v>
      </c>
      <c r="AK39" s="26">
        <f>IF(AG39&lt;0,-AG39*Parameters!$C$27,0)</f>
        <v>10500000</v>
      </c>
      <c r="AL39" s="26">
        <f>MAX(AG39,0)*Parameters!$C$26</f>
        <v>0</v>
      </c>
      <c r="AM39" s="29">
        <f t="shared" si="1"/>
        <v>10500000</v>
      </c>
    </row>
    <row r="40" spans="2:39" x14ac:dyDescent="0.25">
      <c r="B40" s="3">
        <f t="shared" si="22"/>
        <v>35</v>
      </c>
      <c r="C40" s="3">
        <f>IF(B40&lt;=Parameters!$C$9,1,2)</f>
        <v>2</v>
      </c>
      <c r="D40" s="26">
        <f t="shared" si="23"/>
        <v>2238</v>
      </c>
      <c r="E40" s="26">
        <f>ROUND(D40*IF(C40=1,Parameters!$E$13,Parameters!$E$14),0)</f>
        <v>31</v>
      </c>
      <c r="F40" s="26">
        <f>ROUND((E40+D40)*IF(C40=1,Parameters!$E$17,Parameters!$E$18),0)</f>
        <v>7</v>
      </c>
      <c r="G40" s="26">
        <f t="shared" si="2"/>
        <v>2262</v>
      </c>
      <c r="H40" s="26">
        <f t="shared" si="3"/>
        <v>2238</v>
      </c>
      <c r="I40" s="26">
        <f t="shared" si="4"/>
        <v>2262</v>
      </c>
      <c r="J40" s="26">
        <f t="shared" si="5"/>
        <v>0</v>
      </c>
      <c r="K40" s="26">
        <f t="shared" si="6"/>
        <v>24</v>
      </c>
      <c r="L40" s="12" t="b">
        <f t="shared" si="7"/>
        <v>1</v>
      </c>
      <c r="N40" s="3">
        <f t="shared" si="8"/>
        <v>35</v>
      </c>
      <c r="O40" s="10">
        <f>IF(N40&lt;=Parameters!$C$10,1,0)</f>
        <v>0</v>
      </c>
      <c r="P40" s="3">
        <f t="shared" si="24"/>
        <v>362</v>
      </c>
      <c r="Q40" s="4">
        <f>Parameters!$C$20*O40</f>
        <v>0</v>
      </c>
      <c r="R40" s="4">
        <f>ROUND((Q40+P40)*Parameters!$E$23,0)</f>
        <v>1</v>
      </c>
      <c r="S40" s="3">
        <f t="shared" si="9"/>
        <v>361</v>
      </c>
      <c r="T40" s="3">
        <f t="shared" si="10"/>
        <v>362</v>
      </c>
      <c r="U40" s="3">
        <f t="shared" si="11"/>
        <v>361</v>
      </c>
      <c r="V40" s="19">
        <f t="shared" si="12"/>
        <v>1</v>
      </c>
      <c r="W40" s="19">
        <f t="shared" si="13"/>
        <v>0</v>
      </c>
      <c r="X40" s="12" t="b">
        <f t="shared" si="14"/>
        <v>1</v>
      </c>
      <c r="Z40" s="3">
        <f t="shared" si="15"/>
        <v>35</v>
      </c>
      <c r="AA40" s="27">
        <f>Parameters!$C$7</f>
        <v>2500</v>
      </c>
      <c r="AB40" s="26">
        <f t="shared" si="16"/>
        <v>2238</v>
      </c>
      <c r="AC40" s="26">
        <f t="shared" si="17"/>
        <v>362</v>
      </c>
      <c r="AD40" s="26">
        <f t="shared" si="18"/>
        <v>-100</v>
      </c>
      <c r="AE40" s="26">
        <f t="shared" si="19"/>
        <v>1</v>
      </c>
      <c r="AF40" s="26">
        <f t="shared" si="0"/>
        <v>24</v>
      </c>
      <c r="AG40" s="26">
        <f t="shared" si="20"/>
        <v>-123</v>
      </c>
      <c r="AH40" s="28">
        <f t="shared" si="21"/>
        <v>0</v>
      </c>
      <c r="AJ40" s="26">
        <f>IF(AG40&gt;=0,AF40*Parameters!$C$25,MAX(AD40+AE40,0)*Parameters!$C$25)</f>
        <v>0</v>
      </c>
      <c r="AK40" s="26">
        <f>IF(AG40&lt;0,-AG40*Parameters!$C$27,0)</f>
        <v>12915000</v>
      </c>
      <c r="AL40" s="26">
        <f>MAX(AG40,0)*Parameters!$C$26</f>
        <v>0</v>
      </c>
      <c r="AM40" s="29">
        <f t="shared" si="1"/>
        <v>12915000</v>
      </c>
    </row>
    <row r="41" spans="2:39" x14ac:dyDescent="0.25">
      <c r="B41" s="3">
        <f t="shared" si="22"/>
        <v>36</v>
      </c>
      <c r="C41" s="3">
        <f>IF(B41&lt;=Parameters!$C$9,1,2)</f>
        <v>2</v>
      </c>
      <c r="D41" s="26">
        <f t="shared" si="23"/>
        <v>2262</v>
      </c>
      <c r="E41" s="26">
        <f>ROUND(D41*IF(C41=1,Parameters!$E$13,Parameters!$E$14),0)</f>
        <v>31</v>
      </c>
      <c r="F41" s="26">
        <f>ROUND((E41+D41)*IF(C41=1,Parameters!$E$17,Parameters!$E$18),0)</f>
        <v>8</v>
      </c>
      <c r="G41" s="26">
        <f t="shared" si="2"/>
        <v>2285</v>
      </c>
      <c r="H41" s="26">
        <f t="shared" si="3"/>
        <v>2262</v>
      </c>
      <c r="I41" s="26">
        <f t="shared" si="4"/>
        <v>2285</v>
      </c>
      <c r="J41" s="26">
        <f t="shared" si="5"/>
        <v>0</v>
      </c>
      <c r="K41" s="26">
        <f t="shared" si="6"/>
        <v>23</v>
      </c>
      <c r="L41" s="12" t="b">
        <f t="shared" si="7"/>
        <v>1</v>
      </c>
      <c r="N41" s="3">
        <f t="shared" si="8"/>
        <v>36</v>
      </c>
      <c r="O41" s="10">
        <f>IF(N41&lt;=Parameters!$C$10,1,0)</f>
        <v>0</v>
      </c>
      <c r="P41" s="3">
        <f t="shared" si="24"/>
        <v>361</v>
      </c>
      <c r="Q41" s="4">
        <f>Parameters!$C$20*O41</f>
        <v>0</v>
      </c>
      <c r="R41" s="4">
        <f>ROUND((Q41+P41)*Parameters!$E$23,0)</f>
        <v>1</v>
      </c>
      <c r="S41" s="3">
        <f t="shared" si="9"/>
        <v>360</v>
      </c>
      <c r="T41" s="3">
        <f t="shared" si="10"/>
        <v>361</v>
      </c>
      <c r="U41" s="3">
        <f t="shared" si="11"/>
        <v>360</v>
      </c>
      <c r="V41" s="19">
        <f t="shared" si="12"/>
        <v>1</v>
      </c>
      <c r="W41" s="19">
        <f t="shared" si="13"/>
        <v>0</v>
      </c>
      <c r="X41" s="12" t="b">
        <f t="shared" si="14"/>
        <v>1</v>
      </c>
      <c r="Z41" s="3">
        <f t="shared" si="15"/>
        <v>36</v>
      </c>
      <c r="AA41" s="27">
        <f>Parameters!$C$7</f>
        <v>2500</v>
      </c>
      <c r="AB41" s="26">
        <f t="shared" si="16"/>
        <v>2262</v>
      </c>
      <c r="AC41" s="26">
        <f t="shared" si="17"/>
        <v>361</v>
      </c>
      <c r="AD41" s="26">
        <f t="shared" si="18"/>
        <v>-123</v>
      </c>
      <c r="AE41" s="26">
        <f t="shared" si="19"/>
        <v>1</v>
      </c>
      <c r="AF41" s="26">
        <f t="shared" si="0"/>
        <v>23</v>
      </c>
      <c r="AG41" s="26">
        <f t="shared" si="20"/>
        <v>-145</v>
      </c>
      <c r="AH41" s="28">
        <f t="shared" si="21"/>
        <v>0</v>
      </c>
      <c r="AJ41" s="26">
        <f>IF(AG41&gt;=0,AF41*Parameters!$C$25,MAX(AD41+AE41,0)*Parameters!$C$25)</f>
        <v>0</v>
      </c>
      <c r="AK41" s="26">
        <f>IF(AG41&lt;0,-AG41*Parameters!$C$27,0)</f>
        <v>15225000</v>
      </c>
      <c r="AL41" s="26">
        <f>MAX(AG41,0)*Parameters!$C$26</f>
        <v>0</v>
      </c>
      <c r="AM41" s="29">
        <f t="shared" si="1"/>
        <v>15225000</v>
      </c>
    </row>
    <row r="43" spans="2:39" x14ac:dyDescent="0.25">
      <c r="B43" s="14" t="s">
        <v>7</v>
      </c>
      <c r="C43" s="14"/>
      <c r="D43" s="14"/>
      <c r="E43" s="15">
        <f>SUM(E6:E41)</f>
        <v>743</v>
      </c>
      <c r="F43" s="15">
        <f>SUM(F6:F41)</f>
        <v>458</v>
      </c>
      <c r="G43" s="14"/>
      <c r="H43" s="14"/>
      <c r="I43" s="14"/>
      <c r="J43" s="15">
        <f>SUM(J6:J41)</f>
        <v>109</v>
      </c>
      <c r="K43" s="15">
        <f>SUM(K6:K41)</f>
        <v>394</v>
      </c>
      <c r="N43" s="14" t="s">
        <v>7</v>
      </c>
      <c r="O43" s="14"/>
      <c r="P43" s="14"/>
      <c r="Q43" s="15">
        <f>SUM(Q6:Q41)</f>
        <v>209</v>
      </c>
      <c r="R43" s="15">
        <f>SUM(R6:R41)</f>
        <v>49</v>
      </c>
      <c r="S43" s="14"/>
      <c r="T43" s="14"/>
      <c r="U43" s="14"/>
      <c r="V43" s="15">
        <f>SUM(V6:V41)</f>
        <v>27</v>
      </c>
      <c r="W43" s="15">
        <f>SUM(W6:W41)</f>
        <v>187</v>
      </c>
      <c r="AJ43" s="30">
        <f>SUM(AJ6:AJ41)</f>
        <v>21500000</v>
      </c>
      <c r="AK43" s="30">
        <f>SUM(AK6:AK41)</f>
        <v>57120000</v>
      </c>
      <c r="AL43" s="30">
        <f>SUM(AL6:AL41)</f>
        <v>88575000</v>
      </c>
      <c r="AM43" s="30">
        <f>SUM(AM6:AM41)</f>
        <v>167195000</v>
      </c>
    </row>
    <row r="45" spans="2:39" x14ac:dyDescent="0.25">
      <c r="B45" t="s">
        <v>61</v>
      </c>
      <c r="E45" s="16">
        <f>D6+E43-F43</f>
        <v>2285</v>
      </c>
      <c r="N45" t="s">
        <v>61</v>
      </c>
      <c r="Q45" s="16">
        <f>P6+Q43-R43</f>
        <v>360</v>
      </c>
      <c r="AJ45" s="31">
        <f>AJ43/$AM$43</f>
        <v>0.12859236221178863</v>
      </c>
      <c r="AK45" s="31">
        <f>AK43/$AM$43</f>
        <v>0.34163701067615659</v>
      </c>
      <c r="AL45" s="31">
        <f>AL43/$AM$43</f>
        <v>0.5297706271120548</v>
      </c>
      <c r="AM45" s="31">
        <f>AM43/$AM$43</f>
        <v>1</v>
      </c>
    </row>
    <row r="46" spans="2:39" x14ac:dyDescent="0.25">
      <c r="B46" t="s">
        <v>62</v>
      </c>
      <c r="E46" s="16">
        <f>I41</f>
        <v>2285</v>
      </c>
      <c r="F46" s="13" t="b">
        <f>E46=E45</f>
        <v>1</v>
      </c>
      <c r="N46" t="s">
        <v>76</v>
      </c>
      <c r="Q46" s="16">
        <f>U41</f>
        <v>360</v>
      </c>
      <c r="R46" s="13" t="b">
        <f>Q46=Q45</f>
        <v>1</v>
      </c>
    </row>
    <row r="48" spans="2:39" x14ac:dyDescent="0.25">
      <c r="B48" t="s">
        <v>63</v>
      </c>
      <c r="E48" s="17">
        <f>E46-D6</f>
        <v>285</v>
      </c>
      <c r="N48" t="s">
        <v>77</v>
      </c>
      <c r="Q48" s="17">
        <f>Q46-P6</f>
        <v>160</v>
      </c>
    </row>
    <row r="49" spans="2:39" x14ac:dyDescent="0.25">
      <c r="B49" t="s">
        <v>8</v>
      </c>
      <c r="E49" s="18">
        <f>J43</f>
        <v>109</v>
      </c>
      <c r="N49" t="s">
        <v>8</v>
      </c>
      <c r="Q49" s="18">
        <f>V43</f>
        <v>27</v>
      </c>
      <c r="AM49" s="23"/>
    </row>
    <row r="50" spans="2:39" x14ac:dyDescent="0.25">
      <c r="B50" t="s">
        <v>9</v>
      </c>
      <c r="E50" s="18">
        <f>K43</f>
        <v>394</v>
      </c>
      <c r="N50" t="s">
        <v>9</v>
      </c>
      <c r="Q50" s="18">
        <f>W43</f>
        <v>187</v>
      </c>
    </row>
    <row r="51" spans="2:39" x14ac:dyDescent="0.25">
      <c r="B51" t="s">
        <v>10</v>
      </c>
      <c r="E51" s="13" t="b">
        <f>E50-E49=E48</f>
        <v>1</v>
      </c>
      <c r="N51" t="s">
        <v>10</v>
      </c>
      <c r="Q51" s="13" t="b">
        <f>Q50-Q49=Q48</f>
        <v>1</v>
      </c>
    </row>
    <row r="52" spans="2:39" x14ac:dyDescent="0.25">
      <c r="AG52" s="23"/>
      <c r="AJ52" s="21"/>
      <c r="AK52" s="23"/>
      <c r="AM52" s="23"/>
    </row>
    <row r="53" spans="2:39" x14ac:dyDescent="0.25">
      <c r="AJ53" s="22"/>
      <c r="AK53" s="22"/>
      <c r="AL53" s="22"/>
      <c r="AM53" s="24"/>
    </row>
    <row r="54" spans="2:39" x14ac:dyDescent="0.25">
      <c r="AK54" s="22"/>
      <c r="AM54" s="24"/>
    </row>
    <row r="55" spans="2:39" x14ac:dyDescent="0.25">
      <c r="AK55" s="22"/>
      <c r="AM55" s="24"/>
    </row>
    <row r="56" spans="2:39" x14ac:dyDescent="0.25">
      <c r="AK56" s="22"/>
      <c r="AM56" s="24"/>
    </row>
    <row r="57" spans="2:39" x14ac:dyDescent="0.25">
      <c r="AK57" s="22"/>
      <c r="AM57" s="24"/>
    </row>
    <row r="58" spans="2:39" x14ac:dyDescent="0.25">
      <c r="AK58" s="22"/>
      <c r="AM58" s="24"/>
    </row>
    <row r="59" spans="2:39" x14ac:dyDescent="0.25">
      <c r="AK59" s="22"/>
      <c r="AM59" s="24"/>
    </row>
    <row r="60" spans="2:39" x14ac:dyDescent="0.25">
      <c r="AK60" s="22"/>
      <c r="AM60" s="24"/>
    </row>
    <row r="61" spans="2:39" x14ac:dyDescent="0.25">
      <c r="AK61" s="22"/>
      <c r="AM61" s="24"/>
    </row>
    <row r="62" spans="2:39" x14ac:dyDescent="0.25">
      <c r="AK62" s="22"/>
      <c r="AM62" s="24"/>
    </row>
    <row r="63" spans="2:39" x14ac:dyDescent="0.25">
      <c r="AK63" s="22"/>
      <c r="AM63" s="24"/>
    </row>
  </sheetData>
  <mergeCells count="4">
    <mergeCell ref="B4:K4"/>
    <mergeCell ref="N4:W4"/>
    <mergeCell ref="Z4:AG4"/>
    <mergeCell ref="AJ4:AM4"/>
  </mergeCells>
  <hyperlinks>
    <hyperlink ref="G5" r:id="rId1"/>
    <hyperlink ref="S5"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M63"/>
  <sheetViews>
    <sheetView showGridLines="0" zoomScale="85" zoomScaleNormal="85" workbookViewId="0">
      <pane xSplit="2" ySplit="5" topLeftCell="C9" activePane="bottomRight" state="frozen"/>
      <selection pane="topRight" activeCell="C1" sqref="C1"/>
      <selection pane="bottomLeft" activeCell="A6" sqref="A6"/>
      <selection pane="bottomRight" activeCell="Q5" sqref="Q5"/>
    </sheetView>
  </sheetViews>
  <sheetFormatPr defaultRowHeight="15" x14ac:dyDescent="0.25"/>
  <cols>
    <col min="4" max="4" width="10.5703125" customWidth="1"/>
    <col min="5" max="5" width="13.140625" customWidth="1"/>
    <col min="6" max="6" width="13" customWidth="1"/>
    <col min="7" max="9" width="9.5703125" bestFit="1" customWidth="1"/>
    <col min="10" max="10" width="12" customWidth="1"/>
    <col min="11" max="11" width="13.42578125" customWidth="1"/>
    <col min="12" max="12" width="13" customWidth="1"/>
    <col min="16" max="16" width="10.42578125" customWidth="1"/>
    <col min="20" max="20" width="11" customWidth="1"/>
    <col min="21" max="21" width="10" customWidth="1"/>
    <col min="22" max="22" width="12.42578125" customWidth="1"/>
    <col min="24" max="24" width="13.42578125" customWidth="1"/>
    <col min="26" max="26" width="10.42578125" customWidth="1"/>
    <col min="27" max="27" width="12.140625" customWidth="1"/>
    <col min="28" max="28" width="13.140625" customWidth="1"/>
    <col min="29" max="29" width="14.140625" customWidth="1"/>
    <col min="30" max="30" width="11.7109375" customWidth="1"/>
    <col min="31" max="32" width="10.42578125" customWidth="1"/>
    <col min="33" max="33" width="12.140625" bestFit="1" customWidth="1"/>
    <col min="34" max="34" width="9.140625" style="12"/>
    <col min="36" max="36" width="12.140625" customWidth="1"/>
    <col min="37" max="37" width="18" bestFit="1" customWidth="1"/>
    <col min="38" max="38" width="13.42578125" bestFit="1" customWidth="1"/>
    <col min="39" max="39" width="18" bestFit="1" customWidth="1"/>
  </cols>
  <sheetData>
    <row r="4" spans="2:39" x14ac:dyDescent="0.25">
      <c r="B4" s="82" t="s">
        <v>70</v>
      </c>
      <c r="C4" s="82"/>
      <c r="D4" s="82"/>
      <c r="E4" s="82"/>
      <c r="F4" s="82"/>
      <c r="G4" s="82"/>
      <c r="H4" s="82"/>
      <c r="I4" s="82"/>
      <c r="J4" s="82"/>
      <c r="K4" s="82"/>
      <c r="N4" s="82" t="s">
        <v>54</v>
      </c>
      <c r="O4" s="82"/>
      <c r="P4" s="82"/>
      <c r="Q4" s="82"/>
      <c r="R4" s="82"/>
      <c r="S4" s="82"/>
      <c r="T4" s="82"/>
      <c r="U4" s="82"/>
      <c r="V4" s="82"/>
      <c r="W4" s="82"/>
      <c r="Z4" s="82" t="s">
        <v>12</v>
      </c>
      <c r="AA4" s="82"/>
      <c r="AB4" s="82"/>
      <c r="AC4" s="82"/>
      <c r="AD4" s="82"/>
      <c r="AE4" s="82"/>
      <c r="AF4" s="82"/>
      <c r="AG4" s="82"/>
      <c r="AJ4" s="82" t="s">
        <v>28</v>
      </c>
      <c r="AK4" s="82"/>
      <c r="AL4" s="82"/>
      <c r="AM4" s="82"/>
    </row>
    <row r="5" spans="2:39" s="2" customFormat="1" ht="75" x14ac:dyDescent="0.25">
      <c r="B5" s="5" t="s">
        <v>0</v>
      </c>
      <c r="C5" s="5" t="s">
        <v>5</v>
      </c>
      <c r="D5" s="5" t="s">
        <v>55</v>
      </c>
      <c r="E5" s="5" t="s">
        <v>56</v>
      </c>
      <c r="F5" s="5" t="s">
        <v>57</v>
      </c>
      <c r="G5" s="54" t="s">
        <v>58</v>
      </c>
      <c r="H5" s="5" t="s">
        <v>59</v>
      </c>
      <c r="I5" s="5" t="s">
        <v>60</v>
      </c>
      <c r="J5" s="5" t="s">
        <v>41</v>
      </c>
      <c r="K5" s="5" t="s">
        <v>42</v>
      </c>
      <c r="L5" s="11" t="s">
        <v>6</v>
      </c>
      <c r="N5" s="5" t="s">
        <v>0</v>
      </c>
      <c r="O5" s="5" t="s">
        <v>43</v>
      </c>
      <c r="P5" s="5" t="s">
        <v>55</v>
      </c>
      <c r="Q5" s="76" t="s">
        <v>56</v>
      </c>
      <c r="R5" s="5" t="s">
        <v>57</v>
      </c>
      <c r="S5" s="54" t="s">
        <v>58</v>
      </c>
      <c r="T5" s="5" t="s">
        <v>59</v>
      </c>
      <c r="U5" s="5" t="s">
        <v>60</v>
      </c>
      <c r="V5" s="5" t="s">
        <v>41</v>
      </c>
      <c r="W5" s="5" t="s">
        <v>42</v>
      </c>
      <c r="X5" s="11" t="s">
        <v>6</v>
      </c>
      <c r="Z5" s="5" t="s">
        <v>0</v>
      </c>
      <c r="AA5" s="20" t="s">
        <v>64</v>
      </c>
      <c r="AB5" s="20" t="s">
        <v>65</v>
      </c>
      <c r="AC5" s="20" t="s">
        <v>66</v>
      </c>
      <c r="AD5" s="20" t="s">
        <v>67</v>
      </c>
      <c r="AE5" s="20" t="s">
        <v>68</v>
      </c>
      <c r="AF5" s="20" t="s">
        <v>69</v>
      </c>
      <c r="AG5" s="20" t="s">
        <v>44</v>
      </c>
      <c r="AH5" s="11" t="s">
        <v>13</v>
      </c>
      <c r="AJ5" s="20" t="s">
        <v>29</v>
      </c>
      <c r="AK5" s="20" t="s">
        <v>30</v>
      </c>
      <c r="AL5" s="20" t="s">
        <v>14</v>
      </c>
      <c r="AM5" s="20" t="s">
        <v>15</v>
      </c>
    </row>
    <row r="6" spans="2:39" x14ac:dyDescent="0.25">
      <c r="B6" s="6">
        <v>1</v>
      </c>
      <c r="C6" s="10">
        <f>IF(B6&lt;=Parameters!$C$9,1,2)</f>
        <v>1</v>
      </c>
      <c r="D6" s="26">
        <f>Parameters!$C$5</f>
        <v>2000</v>
      </c>
      <c r="E6" s="26">
        <f>ROUND(D6*IF(C6=1,Parameters!$E$13,Parameters!$E$14),0)</f>
        <v>13</v>
      </c>
      <c r="F6" s="26">
        <f>ROUND((E6+D6)*IF(C6=1,Parameters!$E$17,Parameters!$E$18),0)</f>
        <v>19</v>
      </c>
      <c r="G6" s="26">
        <f>D6+E6-F6</f>
        <v>1994</v>
      </c>
      <c r="H6" s="26">
        <f>D6</f>
        <v>2000</v>
      </c>
      <c r="I6" s="26">
        <f>G6</f>
        <v>1994</v>
      </c>
      <c r="J6" s="26">
        <f>IF(H6&gt;I6,H6-I6,0)</f>
        <v>6</v>
      </c>
      <c r="K6" s="26">
        <f>IF(I6&gt;H6,I6-H6,0)</f>
        <v>0</v>
      </c>
      <c r="L6" s="12" t="b">
        <f>J6*K6=0</f>
        <v>1</v>
      </c>
      <c r="N6" s="10">
        <f>B6</f>
        <v>1</v>
      </c>
      <c r="O6" s="10">
        <f>IF(N6&lt;=Parameters!$C$10,1,0)</f>
        <v>1</v>
      </c>
      <c r="P6" s="3">
        <f>Parameters!C6</f>
        <v>200</v>
      </c>
      <c r="Q6" s="4">
        <f>Parameters!$C$31*O6</f>
        <v>0</v>
      </c>
      <c r="R6" s="4">
        <f>ROUND((Q6+P6)*Parameters!$E$23,0)</f>
        <v>1</v>
      </c>
      <c r="S6" s="3">
        <f>P6+Q6-R6</f>
        <v>199</v>
      </c>
      <c r="T6" s="3">
        <f>P6</f>
        <v>200</v>
      </c>
      <c r="U6" s="3">
        <f>S6</f>
        <v>199</v>
      </c>
      <c r="V6" s="19">
        <f>IF(T6&gt;U6,T6-U6,0)</f>
        <v>1</v>
      </c>
      <c r="W6" s="19">
        <f>IF(U6&gt;T6,U6-T6,0)</f>
        <v>0</v>
      </c>
      <c r="X6" s="12" t="b">
        <f>V6*W6=0</f>
        <v>1</v>
      </c>
      <c r="Z6" s="3">
        <f>N6</f>
        <v>1</v>
      </c>
      <c r="AA6" s="27">
        <f>Parameters!$C$7</f>
        <v>2500</v>
      </c>
      <c r="AB6" s="26">
        <f>D6</f>
        <v>2000</v>
      </c>
      <c r="AC6" s="26">
        <f>P6</f>
        <v>200</v>
      </c>
      <c r="AD6" s="26">
        <f>AA6-AB6-AC6</f>
        <v>300</v>
      </c>
      <c r="AE6" s="26">
        <f t="shared" ref="AE6:AF41" si="0">J6+V6</f>
        <v>7</v>
      </c>
      <c r="AF6" s="26">
        <f t="shared" si="0"/>
        <v>0</v>
      </c>
      <c r="AG6" s="26">
        <f>AD6+AE6-AF6</f>
        <v>307</v>
      </c>
      <c r="AH6" s="28">
        <f>AA6-G6-S6-AG6</f>
        <v>0</v>
      </c>
      <c r="AJ6" s="26">
        <f>IF(AG6&gt;=0,AF6*Parameters!$C$25,MAX(AD6+AE6,0)*Parameters!$C$25)</f>
        <v>0</v>
      </c>
      <c r="AK6" s="26">
        <f>IF(AG6&lt;0,-AG6*Parameters!$C$27,0)</f>
        <v>0</v>
      </c>
      <c r="AL6" s="26">
        <f>MAX(AG6,0)*Parameters!$C$26</f>
        <v>4605000</v>
      </c>
      <c r="AM6" s="29">
        <f t="shared" ref="AM6:AM41" si="1">SUM(AJ6:AL6)</f>
        <v>4605000</v>
      </c>
    </row>
    <row r="7" spans="2:39" x14ac:dyDescent="0.25">
      <c r="B7" s="3">
        <f>B6+1</f>
        <v>2</v>
      </c>
      <c r="C7" s="3">
        <f>IF(B7&lt;=Parameters!$C$9,1,2)</f>
        <v>1</v>
      </c>
      <c r="D7" s="26">
        <f>G6</f>
        <v>1994</v>
      </c>
      <c r="E7" s="26">
        <f>ROUND(D7*IF(C7=1,Parameters!$E$13,Parameters!$E$14),0)</f>
        <v>13</v>
      </c>
      <c r="F7" s="26">
        <f>ROUND((E7+D7)*IF(C7=1,Parameters!$E$17,Parameters!$E$18),0)</f>
        <v>19</v>
      </c>
      <c r="G7" s="26">
        <f t="shared" ref="G7:G41" si="2">D7+E7-F7</f>
        <v>1988</v>
      </c>
      <c r="H7" s="26">
        <f t="shared" ref="H7:H41" si="3">D7</f>
        <v>1994</v>
      </c>
      <c r="I7" s="26">
        <f t="shared" ref="I7:I41" si="4">G7</f>
        <v>1988</v>
      </c>
      <c r="J7" s="26">
        <f t="shared" ref="J7:J41" si="5">IF(H7&gt;I7,H7-I7,0)</f>
        <v>6</v>
      </c>
      <c r="K7" s="26">
        <f t="shared" ref="K7:K41" si="6">IF(I7&gt;H7,I7-H7,0)</f>
        <v>0</v>
      </c>
      <c r="L7" s="12" t="b">
        <f t="shared" ref="L7:L41" si="7">J7*K7=0</f>
        <v>1</v>
      </c>
      <c r="N7" s="3">
        <f t="shared" ref="N7:N41" si="8">B7</f>
        <v>2</v>
      </c>
      <c r="O7" s="10">
        <f>IF(N7&lt;=Parameters!$C$10,1,0)</f>
        <v>1</v>
      </c>
      <c r="P7" s="3">
        <f>S6</f>
        <v>199</v>
      </c>
      <c r="Q7" s="4">
        <f>Parameters!$C$31*O7</f>
        <v>0</v>
      </c>
      <c r="R7" s="4">
        <f>ROUND((Q7+P7)*Parameters!$E$23,0)</f>
        <v>1</v>
      </c>
      <c r="S7" s="3">
        <f t="shared" ref="S7:S41" si="9">P7+Q7-R7</f>
        <v>198</v>
      </c>
      <c r="T7" s="3">
        <f t="shared" ref="T7:T41" si="10">P7</f>
        <v>199</v>
      </c>
      <c r="U7" s="3">
        <f t="shared" ref="U7:U41" si="11">S7</f>
        <v>198</v>
      </c>
      <c r="V7" s="19">
        <f t="shared" ref="V7:V41" si="12">IF(T7&gt;U7,T7-U7,0)</f>
        <v>1</v>
      </c>
      <c r="W7" s="19">
        <f t="shared" ref="W7:W41" si="13">IF(U7&gt;T7,U7-T7,0)</f>
        <v>0</v>
      </c>
      <c r="X7" s="12" t="b">
        <f t="shared" ref="X7:X41" si="14">V7*W7=0</f>
        <v>1</v>
      </c>
      <c r="Z7" s="3">
        <f t="shared" ref="Z7:Z41" si="15">N7</f>
        <v>2</v>
      </c>
      <c r="AA7" s="27">
        <f>Parameters!$C$7</f>
        <v>2500</v>
      </c>
      <c r="AB7" s="26">
        <f t="shared" ref="AB7:AB41" si="16">D7</f>
        <v>1994</v>
      </c>
      <c r="AC7" s="26">
        <f t="shared" ref="AC7:AC41" si="17">P7</f>
        <v>199</v>
      </c>
      <c r="AD7" s="26">
        <f t="shared" ref="AD7:AD41" si="18">AA7-AB7-AC7</f>
        <v>307</v>
      </c>
      <c r="AE7" s="26">
        <f t="shared" si="0"/>
        <v>7</v>
      </c>
      <c r="AF7" s="26">
        <f t="shared" si="0"/>
        <v>0</v>
      </c>
      <c r="AG7" s="26">
        <f t="shared" ref="AG7:AG41" si="19">AD7+AE7-AF7</f>
        <v>314</v>
      </c>
      <c r="AH7" s="28">
        <f t="shared" ref="AH7:AH41" si="20">AA7-G7-S7-AG7</f>
        <v>0</v>
      </c>
      <c r="AJ7" s="26">
        <f>IF(AG7&gt;=0,AF7*Parameters!$C$25,MAX(AD7+AE7,0)*Parameters!$C$25)</f>
        <v>0</v>
      </c>
      <c r="AK7" s="26">
        <f>IF(AG7&lt;0,-AG7*Parameters!$C$27,0)</f>
        <v>0</v>
      </c>
      <c r="AL7" s="26">
        <f>MAX(AG7,0)*Parameters!$C$26</f>
        <v>4710000</v>
      </c>
      <c r="AM7" s="29">
        <f t="shared" si="1"/>
        <v>4710000</v>
      </c>
    </row>
    <row r="8" spans="2:39" x14ac:dyDescent="0.25">
      <c r="B8" s="3">
        <f t="shared" ref="B8:B41" si="21">B7+1</f>
        <v>3</v>
      </c>
      <c r="C8" s="3">
        <f>IF(B8&lt;=Parameters!$C$9,1,2)</f>
        <v>1</v>
      </c>
      <c r="D8" s="26">
        <f t="shared" ref="D8:D41" si="22">G7</f>
        <v>1988</v>
      </c>
      <c r="E8" s="26">
        <f>ROUND(D8*IF(C8=1,Parameters!$E$13,Parameters!$E$14),0)</f>
        <v>13</v>
      </c>
      <c r="F8" s="26">
        <f>ROUND((E8+D8)*IF(C8=1,Parameters!$E$17,Parameters!$E$18),0)</f>
        <v>19</v>
      </c>
      <c r="G8" s="26">
        <f t="shared" si="2"/>
        <v>1982</v>
      </c>
      <c r="H8" s="26">
        <f t="shared" si="3"/>
        <v>1988</v>
      </c>
      <c r="I8" s="26">
        <f t="shared" si="4"/>
        <v>1982</v>
      </c>
      <c r="J8" s="26">
        <f t="shared" si="5"/>
        <v>6</v>
      </c>
      <c r="K8" s="26">
        <f t="shared" si="6"/>
        <v>0</v>
      </c>
      <c r="L8" s="12" t="b">
        <f t="shared" si="7"/>
        <v>1</v>
      </c>
      <c r="N8" s="3">
        <f t="shared" si="8"/>
        <v>3</v>
      </c>
      <c r="O8" s="10">
        <f>IF(N8&lt;=Parameters!$C$10,1,0)</f>
        <v>1</v>
      </c>
      <c r="P8" s="3">
        <f t="shared" ref="P8:P41" si="23">S7</f>
        <v>198</v>
      </c>
      <c r="Q8" s="4">
        <f>Parameters!$C$31*O8</f>
        <v>0</v>
      </c>
      <c r="R8" s="4">
        <f>ROUND((Q8+P8)*Parameters!$E$23,0)</f>
        <v>1</v>
      </c>
      <c r="S8" s="3">
        <f t="shared" si="9"/>
        <v>197</v>
      </c>
      <c r="T8" s="3">
        <f t="shared" si="10"/>
        <v>198</v>
      </c>
      <c r="U8" s="3">
        <f t="shared" si="11"/>
        <v>197</v>
      </c>
      <c r="V8" s="19">
        <f t="shared" si="12"/>
        <v>1</v>
      </c>
      <c r="W8" s="19">
        <f t="shared" si="13"/>
        <v>0</v>
      </c>
      <c r="X8" s="12" t="b">
        <f t="shared" si="14"/>
        <v>1</v>
      </c>
      <c r="Z8" s="3">
        <f t="shared" si="15"/>
        <v>3</v>
      </c>
      <c r="AA8" s="27">
        <f>Parameters!$C$7</f>
        <v>2500</v>
      </c>
      <c r="AB8" s="26">
        <f t="shared" si="16"/>
        <v>1988</v>
      </c>
      <c r="AC8" s="26">
        <f t="shared" si="17"/>
        <v>198</v>
      </c>
      <c r="AD8" s="26">
        <f t="shared" si="18"/>
        <v>314</v>
      </c>
      <c r="AE8" s="26">
        <f t="shared" si="0"/>
        <v>7</v>
      </c>
      <c r="AF8" s="26">
        <f t="shared" si="0"/>
        <v>0</v>
      </c>
      <c r="AG8" s="26">
        <f t="shared" si="19"/>
        <v>321</v>
      </c>
      <c r="AH8" s="28">
        <f t="shared" si="20"/>
        <v>0</v>
      </c>
      <c r="AJ8" s="26">
        <f>IF(AG8&gt;=0,AF8*Parameters!$C$25,MAX(AD8+AE8,0)*Parameters!$C$25)</f>
        <v>0</v>
      </c>
      <c r="AK8" s="26">
        <f>IF(AG8&lt;0,-AG8*Parameters!$C$27,0)</f>
        <v>0</v>
      </c>
      <c r="AL8" s="26">
        <f>MAX(AG8,0)*Parameters!$C$26</f>
        <v>4815000</v>
      </c>
      <c r="AM8" s="29">
        <f t="shared" si="1"/>
        <v>4815000</v>
      </c>
    </row>
    <row r="9" spans="2:39" x14ac:dyDescent="0.25">
      <c r="B9" s="3">
        <f t="shared" si="21"/>
        <v>4</v>
      </c>
      <c r="C9" s="3">
        <f>IF(B9&lt;=Parameters!$C$9,1,2)</f>
        <v>1</v>
      </c>
      <c r="D9" s="26">
        <f t="shared" si="22"/>
        <v>1982</v>
      </c>
      <c r="E9" s="26">
        <f>ROUND(D9*IF(C9=1,Parameters!$E$13,Parameters!$E$14),0)</f>
        <v>13</v>
      </c>
      <c r="F9" s="26">
        <f>ROUND((E9+D9)*IF(C9=1,Parameters!$E$17,Parameters!$E$18),0)</f>
        <v>19</v>
      </c>
      <c r="G9" s="26">
        <f t="shared" si="2"/>
        <v>1976</v>
      </c>
      <c r="H9" s="26">
        <f t="shared" si="3"/>
        <v>1982</v>
      </c>
      <c r="I9" s="26">
        <f t="shared" si="4"/>
        <v>1976</v>
      </c>
      <c r="J9" s="26">
        <f t="shared" si="5"/>
        <v>6</v>
      </c>
      <c r="K9" s="26">
        <f t="shared" si="6"/>
        <v>0</v>
      </c>
      <c r="L9" s="12" t="b">
        <f t="shared" si="7"/>
        <v>1</v>
      </c>
      <c r="N9" s="3">
        <f t="shared" si="8"/>
        <v>4</v>
      </c>
      <c r="O9" s="10">
        <f>IF(N9&lt;=Parameters!$C$10,1,0)</f>
        <v>1</v>
      </c>
      <c r="P9" s="3">
        <f t="shared" si="23"/>
        <v>197</v>
      </c>
      <c r="Q9" s="4">
        <f>Parameters!$C$31*O9</f>
        <v>0</v>
      </c>
      <c r="R9" s="4">
        <f>ROUND((Q9+P9)*Parameters!$E$23,0)</f>
        <v>1</v>
      </c>
      <c r="S9" s="3">
        <f t="shared" si="9"/>
        <v>196</v>
      </c>
      <c r="T9" s="3">
        <f t="shared" si="10"/>
        <v>197</v>
      </c>
      <c r="U9" s="3">
        <f t="shared" si="11"/>
        <v>196</v>
      </c>
      <c r="V9" s="19">
        <f t="shared" si="12"/>
        <v>1</v>
      </c>
      <c r="W9" s="19">
        <f t="shared" si="13"/>
        <v>0</v>
      </c>
      <c r="X9" s="12" t="b">
        <f t="shared" si="14"/>
        <v>1</v>
      </c>
      <c r="Z9" s="3">
        <f t="shared" si="15"/>
        <v>4</v>
      </c>
      <c r="AA9" s="27">
        <f>Parameters!$C$7</f>
        <v>2500</v>
      </c>
      <c r="AB9" s="26">
        <f t="shared" si="16"/>
        <v>1982</v>
      </c>
      <c r="AC9" s="26">
        <f t="shared" si="17"/>
        <v>197</v>
      </c>
      <c r="AD9" s="26">
        <f t="shared" si="18"/>
        <v>321</v>
      </c>
      <c r="AE9" s="26">
        <f t="shared" si="0"/>
        <v>7</v>
      </c>
      <c r="AF9" s="26">
        <f t="shared" si="0"/>
        <v>0</v>
      </c>
      <c r="AG9" s="26">
        <f t="shared" si="19"/>
        <v>328</v>
      </c>
      <c r="AH9" s="28">
        <f t="shared" si="20"/>
        <v>0</v>
      </c>
      <c r="AJ9" s="26">
        <f>IF(AG9&gt;=0,AF9*Parameters!$C$25,MAX(AD9+AE9,0)*Parameters!$C$25)</f>
        <v>0</v>
      </c>
      <c r="AK9" s="26">
        <f>IF(AG9&lt;0,-AG9*Parameters!$C$27,0)</f>
        <v>0</v>
      </c>
      <c r="AL9" s="26">
        <f>MAX(AG9,0)*Parameters!$C$26</f>
        <v>4920000</v>
      </c>
      <c r="AM9" s="29">
        <f t="shared" si="1"/>
        <v>4920000</v>
      </c>
    </row>
    <row r="10" spans="2:39" x14ac:dyDescent="0.25">
      <c r="B10" s="3">
        <f t="shared" si="21"/>
        <v>5</v>
      </c>
      <c r="C10" s="3">
        <f>IF(B10&lt;=Parameters!$C$9,1,2)</f>
        <v>1</v>
      </c>
      <c r="D10" s="26">
        <f t="shared" si="22"/>
        <v>1976</v>
      </c>
      <c r="E10" s="26">
        <f>ROUND(D10*IF(C10=1,Parameters!$E$13,Parameters!$E$14),0)</f>
        <v>13</v>
      </c>
      <c r="F10" s="26">
        <f>ROUND((E10+D10)*IF(C10=1,Parameters!$E$17,Parameters!$E$18),0)</f>
        <v>19</v>
      </c>
      <c r="G10" s="26">
        <f t="shared" si="2"/>
        <v>1970</v>
      </c>
      <c r="H10" s="26">
        <f t="shared" si="3"/>
        <v>1976</v>
      </c>
      <c r="I10" s="26">
        <f t="shared" si="4"/>
        <v>1970</v>
      </c>
      <c r="J10" s="26">
        <f t="shared" si="5"/>
        <v>6</v>
      </c>
      <c r="K10" s="26">
        <f t="shared" si="6"/>
        <v>0</v>
      </c>
      <c r="L10" s="12" t="b">
        <f t="shared" si="7"/>
        <v>1</v>
      </c>
      <c r="N10" s="3">
        <f t="shared" si="8"/>
        <v>5</v>
      </c>
      <c r="O10" s="10">
        <f>IF(N10&lt;=Parameters!$C$10,1,0)</f>
        <v>1</v>
      </c>
      <c r="P10" s="3">
        <f t="shared" si="23"/>
        <v>196</v>
      </c>
      <c r="Q10" s="4">
        <f>Parameters!$C$31*O10</f>
        <v>0</v>
      </c>
      <c r="R10" s="4">
        <f>ROUND((Q10+P10)*Parameters!$E$23,0)</f>
        <v>1</v>
      </c>
      <c r="S10" s="3">
        <f t="shared" si="9"/>
        <v>195</v>
      </c>
      <c r="T10" s="3">
        <f t="shared" si="10"/>
        <v>196</v>
      </c>
      <c r="U10" s="3">
        <f t="shared" si="11"/>
        <v>195</v>
      </c>
      <c r="V10" s="19">
        <f t="shared" si="12"/>
        <v>1</v>
      </c>
      <c r="W10" s="19">
        <f t="shared" si="13"/>
        <v>0</v>
      </c>
      <c r="X10" s="12" t="b">
        <f t="shared" si="14"/>
        <v>1</v>
      </c>
      <c r="Z10" s="3">
        <f t="shared" si="15"/>
        <v>5</v>
      </c>
      <c r="AA10" s="27">
        <f>Parameters!$C$7</f>
        <v>2500</v>
      </c>
      <c r="AB10" s="26">
        <f t="shared" si="16"/>
        <v>1976</v>
      </c>
      <c r="AC10" s="26">
        <f t="shared" si="17"/>
        <v>196</v>
      </c>
      <c r="AD10" s="26">
        <f t="shared" si="18"/>
        <v>328</v>
      </c>
      <c r="AE10" s="26">
        <f t="shared" si="0"/>
        <v>7</v>
      </c>
      <c r="AF10" s="26">
        <f t="shared" si="0"/>
        <v>0</v>
      </c>
      <c r="AG10" s="26">
        <f t="shared" si="19"/>
        <v>335</v>
      </c>
      <c r="AH10" s="28">
        <f t="shared" si="20"/>
        <v>0</v>
      </c>
      <c r="AJ10" s="26">
        <f>IF(AG10&gt;=0,AF10*Parameters!$C$25,MAX(AD10+AE10,0)*Parameters!$C$25)</f>
        <v>0</v>
      </c>
      <c r="AK10" s="26">
        <f>IF(AG10&lt;0,-AG10*Parameters!$C$27,0)</f>
        <v>0</v>
      </c>
      <c r="AL10" s="26">
        <f>MAX(AG10,0)*Parameters!$C$26</f>
        <v>5025000</v>
      </c>
      <c r="AM10" s="29">
        <f t="shared" si="1"/>
        <v>5025000</v>
      </c>
    </row>
    <row r="11" spans="2:39" x14ac:dyDescent="0.25">
      <c r="B11" s="3">
        <f t="shared" si="21"/>
        <v>6</v>
      </c>
      <c r="C11" s="3">
        <f>IF(B11&lt;=Parameters!$C$9,1,2)</f>
        <v>1</v>
      </c>
      <c r="D11" s="26">
        <f t="shared" si="22"/>
        <v>1970</v>
      </c>
      <c r="E11" s="26">
        <f>ROUND(D11*IF(C11=1,Parameters!$E$13,Parameters!$E$14),0)</f>
        <v>13</v>
      </c>
      <c r="F11" s="26">
        <f>ROUND((E11+D11)*IF(C11=1,Parameters!$E$17,Parameters!$E$18),0)</f>
        <v>19</v>
      </c>
      <c r="G11" s="26">
        <f t="shared" si="2"/>
        <v>1964</v>
      </c>
      <c r="H11" s="26">
        <f t="shared" si="3"/>
        <v>1970</v>
      </c>
      <c r="I11" s="26">
        <f t="shared" si="4"/>
        <v>1964</v>
      </c>
      <c r="J11" s="26">
        <f t="shared" si="5"/>
        <v>6</v>
      </c>
      <c r="K11" s="26">
        <f t="shared" si="6"/>
        <v>0</v>
      </c>
      <c r="L11" s="12" t="b">
        <f t="shared" si="7"/>
        <v>1</v>
      </c>
      <c r="N11" s="3">
        <f t="shared" si="8"/>
        <v>6</v>
      </c>
      <c r="O11" s="10">
        <f>IF(N11&lt;=Parameters!$C$10,1,0)</f>
        <v>1</v>
      </c>
      <c r="P11" s="3">
        <f t="shared" si="23"/>
        <v>195</v>
      </c>
      <c r="Q11" s="4">
        <f>Parameters!$C$31*O11</f>
        <v>0</v>
      </c>
      <c r="R11" s="4">
        <f>ROUND((Q11+P11)*Parameters!$E$23,0)</f>
        <v>1</v>
      </c>
      <c r="S11" s="3">
        <f t="shared" si="9"/>
        <v>194</v>
      </c>
      <c r="T11" s="3">
        <f t="shared" si="10"/>
        <v>195</v>
      </c>
      <c r="U11" s="3">
        <f t="shared" si="11"/>
        <v>194</v>
      </c>
      <c r="V11" s="19">
        <f t="shared" si="12"/>
        <v>1</v>
      </c>
      <c r="W11" s="19">
        <f t="shared" si="13"/>
        <v>0</v>
      </c>
      <c r="X11" s="12" t="b">
        <f t="shared" si="14"/>
        <v>1</v>
      </c>
      <c r="Z11" s="3">
        <f t="shared" si="15"/>
        <v>6</v>
      </c>
      <c r="AA11" s="27">
        <f>Parameters!$C$7</f>
        <v>2500</v>
      </c>
      <c r="AB11" s="26">
        <f t="shared" si="16"/>
        <v>1970</v>
      </c>
      <c r="AC11" s="26">
        <f t="shared" si="17"/>
        <v>195</v>
      </c>
      <c r="AD11" s="26">
        <f t="shared" si="18"/>
        <v>335</v>
      </c>
      <c r="AE11" s="26">
        <f t="shared" si="0"/>
        <v>7</v>
      </c>
      <c r="AF11" s="26">
        <f t="shared" si="0"/>
        <v>0</v>
      </c>
      <c r="AG11" s="26">
        <f t="shared" si="19"/>
        <v>342</v>
      </c>
      <c r="AH11" s="28">
        <f t="shared" si="20"/>
        <v>0</v>
      </c>
      <c r="AJ11" s="26">
        <f>IF(AG11&gt;=0,AF11*Parameters!$C$25,MAX(AD11+AE11,0)*Parameters!$C$25)</f>
        <v>0</v>
      </c>
      <c r="AK11" s="26">
        <f>IF(AG11&lt;0,-AG11*Parameters!$C$27,0)</f>
        <v>0</v>
      </c>
      <c r="AL11" s="26">
        <f>MAX(AG11,0)*Parameters!$C$26</f>
        <v>5130000</v>
      </c>
      <c r="AM11" s="29">
        <f t="shared" si="1"/>
        <v>5130000</v>
      </c>
    </row>
    <row r="12" spans="2:39" x14ac:dyDescent="0.25">
      <c r="B12" s="3">
        <f t="shared" si="21"/>
        <v>7</v>
      </c>
      <c r="C12" s="3">
        <f>IF(B12&lt;=Parameters!$C$9,1,2)</f>
        <v>1</v>
      </c>
      <c r="D12" s="26">
        <f t="shared" si="22"/>
        <v>1964</v>
      </c>
      <c r="E12" s="26">
        <f>ROUND(D12*IF(C12=1,Parameters!$E$13,Parameters!$E$14),0)</f>
        <v>13</v>
      </c>
      <c r="F12" s="26">
        <f>ROUND((E12+D12)*IF(C12=1,Parameters!$E$17,Parameters!$E$18),0)</f>
        <v>19</v>
      </c>
      <c r="G12" s="26">
        <f t="shared" si="2"/>
        <v>1958</v>
      </c>
      <c r="H12" s="26">
        <f t="shared" si="3"/>
        <v>1964</v>
      </c>
      <c r="I12" s="26">
        <f t="shared" si="4"/>
        <v>1958</v>
      </c>
      <c r="J12" s="26">
        <f t="shared" si="5"/>
        <v>6</v>
      </c>
      <c r="K12" s="26">
        <f t="shared" si="6"/>
        <v>0</v>
      </c>
      <c r="L12" s="12" t="b">
        <f t="shared" si="7"/>
        <v>1</v>
      </c>
      <c r="N12" s="3">
        <f t="shared" si="8"/>
        <v>7</v>
      </c>
      <c r="O12" s="10">
        <f>IF(N12&lt;=Parameters!$C$10,1,0)</f>
        <v>1</v>
      </c>
      <c r="P12" s="3">
        <f t="shared" si="23"/>
        <v>194</v>
      </c>
      <c r="Q12" s="4">
        <f>Parameters!$C$31*O12</f>
        <v>0</v>
      </c>
      <c r="R12" s="4">
        <f>ROUND((Q12+P12)*Parameters!$E$23,0)</f>
        <v>1</v>
      </c>
      <c r="S12" s="3">
        <f t="shared" si="9"/>
        <v>193</v>
      </c>
      <c r="T12" s="3">
        <f t="shared" si="10"/>
        <v>194</v>
      </c>
      <c r="U12" s="3">
        <f t="shared" si="11"/>
        <v>193</v>
      </c>
      <c r="V12" s="19">
        <f t="shared" si="12"/>
        <v>1</v>
      </c>
      <c r="W12" s="19">
        <f t="shared" si="13"/>
        <v>0</v>
      </c>
      <c r="X12" s="12" t="b">
        <f t="shared" si="14"/>
        <v>1</v>
      </c>
      <c r="Z12" s="3">
        <f t="shared" si="15"/>
        <v>7</v>
      </c>
      <c r="AA12" s="27">
        <f>Parameters!$C$7</f>
        <v>2500</v>
      </c>
      <c r="AB12" s="26">
        <f t="shared" si="16"/>
        <v>1964</v>
      </c>
      <c r="AC12" s="26">
        <f t="shared" si="17"/>
        <v>194</v>
      </c>
      <c r="AD12" s="26">
        <f t="shared" si="18"/>
        <v>342</v>
      </c>
      <c r="AE12" s="26">
        <f t="shared" si="0"/>
        <v>7</v>
      </c>
      <c r="AF12" s="26">
        <f t="shared" si="0"/>
        <v>0</v>
      </c>
      <c r="AG12" s="26">
        <f t="shared" si="19"/>
        <v>349</v>
      </c>
      <c r="AH12" s="28">
        <f t="shared" si="20"/>
        <v>0</v>
      </c>
      <c r="AJ12" s="26">
        <f>IF(AG12&gt;=0,AF12*Parameters!$C$25,MAX(AD12+AE12,0)*Parameters!$C$25)</f>
        <v>0</v>
      </c>
      <c r="AK12" s="26">
        <f>IF(AG12&lt;0,-AG12*Parameters!$C$27,0)</f>
        <v>0</v>
      </c>
      <c r="AL12" s="26">
        <f>MAX(AG12,0)*Parameters!$C$26</f>
        <v>5235000</v>
      </c>
      <c r="AM12" s="29">
        <f t="shared" si="1"/>
        <v>5235000</v>
      </c>
    </row>
    <row r="13" spans="2:39" x14ac:dyDescent="0.25">
      <c r="B13" s="3">
        <f t="shared" si="21"/>
        <v>8</v>
      </c>
      <c r="C13" s="3">
        <f>IF(B13&lt;=Parameters!$C$9,1,2)</f>
        <v>1</v>
      </c>
      <c r="D13" s="26">
        <f t="shared" si="22"/>
        <v>1958</v>
      </c>
      <c r="E13" s="26">
        <f>ROUND(D13*IF(C13=1,Parameters!$E$13,Parameters!$E$14),0)</f>
        <v>13</v>
      </c>
      <c r="F13" s="26">
        <f>ROUND((E13+D13)*IF(C13=1,Parameters!$E$17,Parameters!$E$18),0)</f>
        <v>19</v>
      </c>
      <c r="G13" s="26">
        <f t="shared" si="2"/>
        <v>1952</v>
      </c>
      <c r="H13" s="26">
        <f t="shared" si="3"/>
        <v>1958</v>
      </c>
      <c r="I13" s="26">
        <f t="shared" si="4"/>
        <v>1952</v>
      </c>
      <c r="J13" s="26">
        <f t="shared" si="5"/>
        <v>6</v>
      </c>
      <c r="K13" s="26">
        <f t="shared" si="6"/>
        <v>0</v>
      </c>
      <c r="L13" s="12" t="b">
        <f t="shared" si="7"/>
        <v>1</v>
      </c>
      <c r="N13" s="3">
        <f t="shared" si="8"/>
        <v>8</v>
      </c>
      <c r="O13" s="10">
        <f>IF(N13&lt;=Parameters!$C$10,1,0)</f>
        <v>1</v>
      </c>
      <c r="P13" s="3">
        <f t="shared" si="23"/>
        <v>193</v>
      </c>
      <c r="Q13" s="4">
        <f>Parameters!$C$31*O13</f>
        <v>0</v>
      </c>
      <c r="R13" s="4">
        <f>ROUND((Q13+P13)*Parameters!$E$23,0)</f>
        <v>1</v>
      </c>
      <c r="S13" s="3">
        <f t="shared" si="9"/>
        <v>192</v>
      </c>
      <c r="T13" s="3">
        <f t="shared" si="10"/>
        <v>193</v>
      </c>
      <c r="U13" s="3">
        <f t="shared" si="11"/>
        <v>192</v>
      </c>
      <c r="V13" s="19">
        <f t="shared" si="12"/>
        <v>1</v>
      </c>
      <c r="W13" s="19">
        <f t="shared" si="13"/>
        <v>0</v>
      </c>
      <c r="X13" s="12" t="b">
        <f t="shared" si="14"/>
        <v>1</v>
      </c>
      <c r="Z13" s="3">
        <f t="shared" si="15"/>
        <v>8</v>
      </c>
      <c r="AA13" s="27">
        <f>Parameters!$C$7</f>
        <v>2500</v>
      </c>
      <c r="AB13" s="26">
        <f t="shared" si="16"/>
        <v>1958</v>
      </c>
      <c r="AC13" s="26">
        <f t="shared" si="17"/>
        <v>193</v>
      </c>
      <c r="AD13" s="26">
        <f t="shared" si="18"/>
        <v>349</v>
      </c>
      <c r="AE13" s="26">
        <f t="shared" si="0"/>
        <v>7</v>
      </c>
      <c r="AF13" s="26">
        <f t="shared" si="0"/>
        <v>0</v>
      </c>
      <c r="AG13" s="26">
        <f t="shared" si="19"/>
        <v>356</v>
      </c>
      <c r="AH13" s="28">
        <f t="shared" si="20"/>
        <v>0</v>
      </c>
      <c r="AJ13" s="26">
        <f>IF(AG13&gt;=0,AF13*Parameters!$C$25,MAX(AD13+AE13,0)*Parameters!$C$25)</f>
        <v>0</v>
      </c>
      <c r="AK13" s="26">
        <f>IF(AG13&lt;0,-AG13*Parameters!$C$27,0)</f>
        <v>0</v>
      </c>
      <c r="AL13" s="26">
        <f>MAX(AG13,0)*Parameters!$C$26</f>
        <v>5340000</v>
      </c>
      <c r="AM13" s="29">
        <f t="shared" si="1"/>
        <v>5340000</v>
      </c>
    </row>
    <row r="14" spans="2:39" x14ac:dyDescent="0.25">
      <c r="B14" s="3">
        <f t="shared" si="21"/>
        <v>9</v>
      </c>
      <c r="C14" s="3">
        <f>IF(B14&lt;=Parameters!$C$9,1,2)</f>
        <v>1</v>
      </c>
      <c r="D14" s="26">
        <f t="shared" si="22"/>
        <v>1952</v>
      </c>
      <c r="E14" s="26">
        <f>ROUND(D14*IF(C14=1,Parameters!$E$13,Parameters!$E$14),0)</f>
        <v>13</v>
      </c>
      <c r="F14" s="26">
        <f>ROUND((E14+D14)*IF(C14=1,Parameters!$E$17,Parameters!$E$18),0)</f>
        <v>19</v>
      </c>
      <c r="G14" s="26">
        <f t="shared" si="2"/>
        <v>1946</v>
      </c>
      <c r="H14" s="26">
        <f t="shared" si="3"/>
        <v>1952</v>
      </c>
      <c r="I14" s="26">
        <f t="shared" si="4"/>
        <v>1946</v>
      </c>
      <c r="J14" s="26">
        <f t="shared" si="5"/>
        <v>6</v>
      </c>
      <c r="K14" s="26">
        <f t="shared" si="6"/>
        <v>0</v>
      </c>
      <c r="L14" s="12" t="b">
        <f t="shared" si="7"/>
        <v>1</v>
      </c>
      <c r="N14" s="3">
        <f t="shared" si="8"/>
        <v>9</v>
      </c>
      <c r="O14" s="10">
        <f>IF(N14&lt;=Parameters!$C$10,1,0)</f>
        <v>1</v>
      </c>
      <c r="P14" s="3">
        <f t="shared" si="23"/>
        <v>192</v>
      </c>
      <c r="Q14" s="4">
        <f>Parameters!$C$31*O14</f>
        <v>0</v>
      </c>
      <c r="R14" s="4">
        <f>ROUND((Q14+P14)*Parameters!$E$23,0)</f>
        <v>1</v>
      </c>
      <c r="S14" s="3">
        <f t="shared" si="9"/>
        <v>191</v>
      </c>
      <c r="T14" s="3">
        <f t="shared" si="10"/>
        <v>192</v>
      </c>
      <c r="U14" s="3">
        <f t="shared" si="11"/>
        <v>191</v>
      </c>
      <c r="V14" s="19">
        <f t="shared" si="12"/>
        <v>1</v>
      </c>
      <c r="W14" s="19">
        <f t="shared" si="13"/>
        <v>0</v>
      </c>
      <c r="X14" s="12" t="b">
        <f t="shared" si="14"/>
        <v>1</v>
      </c>
      <c r="Z14" s="3">
        <f t="shared" si="15"/>
        <v>9</v>
      </c>
      <c r="AA14" s="27">
        <f>Parameters!$C$7</f>
        <v>2500</v>
      </c>
      <c r="AB14" s="26">
        <f t="shared" si="16"/>
        <v>1952</v>
      </c>
      <c r="AC14" s="26">
        <f t="shared" si="17"/>
        <v>192</v>
      </c>
      <c r="AD14" s="26">
        <f t="shared" si="18"/>
        <v>356</v>
      </c>
      <c r="AE14" s="26">
        <f t="shared" si="0"/>
        <v>7</v>
      </c>
      <c r="AF14" s="26">
        <f t="shared" si="0"/>
        <v>0</v>
      </c>
      <c r="AG14" s="26">
        <f t="shared" si="19"/>
        <v>363</v>
      </c>
      <c r="AH14" s="28">
        <f t="shared" si="20"/>
        <v>0</v>
      </c>
      <c r="AJ14" s="26">
        <f>IF(AG14&gt;=0,AF14*Parameters!$C$25,MAX(AD14+AE14,0)*Parameters!$C$25)</f>
        <v>0</v>
      </c>
      <c r="AK14" s="26">
        <f>IF(AG14&lt;0,-AG14*Parameters!$C$27,0)</f>
        <v>0</v>
      </c>
      <c r="AL14" s="26">
        <f>MAX(AG14,0)*Parameters!$C$26</f>
        <v>5445000</v>
      </c>
      <c r="AM14" s="29">
        <f t="shared" si="1"/>
        <v>5445000</v>
      </c>
    </row>
    <row r="15" spans="2:39" x14ac:dyDescent="0.25">
      <c r="B15" s="3">
        <f t="shared" si="21"/>
        <v>10</v>
      </c>
      <c r="C15" s="3">
        <f>IF(B15&lt;=Parameters!$C$9,1,2)</f>
        <v>1</v>
      </c>
      <c r="D15" s="26">
        <f t="shared" si="22"/>
        <v>1946</v>
      </c>
      <c r="E15" s="26">
        <f>ROUND(D15*IF(C15=1,Parameters!$E$13,Parameters!$E$14),0)</f>
        <v>13</v>
      </c>
      <c r="F15" s="26">
        <f>ROUND((E15+D15)*IF(C15=1,Parameters!$E$17,Parameters!$E$18),0)</f>
        <v>19</v>
      </c>
      <c r="G15" s="26">
        <f t="shared" si="2"/>
        <v>1940</v>
      </c>
      <c r="H15" s="26">
        <f t="shared" si="3"/>
        <v>1946</v>
      </c>
      <c r="I15" s="26">
        <f t="shared" si="4"/>
        <v>1940</v>
      </c>
      <c r="J15" s="26">
        <f t="shared" si="5"/>
        <v>6</v>
      </c>
      <c r="K15" s="26">
        <f t="shared" si="6"/>
        <v>0</v>
      </c>
      <c r="L15" s="12" t="b">
        <f t="shared" si="7"/>
        <v>1</v>
      </c>
      <c r="N15" s="3">
        <f t="shared" si="8"/>
        <v>10</v>
      </c>
      <c r="O15" s="10">
        <f>IF(N15&lt;=Parameters!$C$10,1,0)</f>
        <v>1</v>
      </c>
      <c r="P15" s="3">
        <f t="shared" si="23"/>
        <v>191</v>
      </c>
      <c r="Q15" s="4">
        <f>Parameters!$C$31*O15</f>
        <v>0</v>
      </c>
      <c r="R15" s="4">
        <f>ROUND((Q15+P15)*Parameters!$E$23,0)</f>
        <v>1</v>
      </c>
      <c r="S15" s="3">
        <f t="shared" si="9"/>
        <v>190</v>
      </c>
      <c r="T15" s="3">
        <f t="shared" si="10"/>
        <v>191</v>
      </c>
      <c r="U15" s="3">
        <f t="shared" si="11"/>
        <v>190</v>
      </c>
      <c r="V15" s="19">
        <f t="shared" si="12"/>
        <v>1</v>
      </c>
      <c r="W15" s="19">
        <f t="shared" si="13"/>
        <v>0</v>
      </c>
      <c r="X15" s="12" t="b">
        <f t="shared" si="14"/>
        <v>1</v>
      </c>
      <c r="Z15" s="3">
        <f t="shared" si="15"/>
        <v>10</v>
      </c>
      <c r="AA15" s="27">
        <f>Parameters!$C$7</f>
        <v>2500</v>
      </c>
      <c r="AB15" s="26">
        <f t="shared" si="16"/>
        <v>1946</v>
      </c>
      <c r="AC15" s="26">
        <f t="shared" si="17"/>
        <v>191</v>
      </c>
      <c r="AD15" s="26">
        <f t="shared" si="18"/>
        <v>363</v>
      </c>
      <c r="AE15" s="26">
        <f t="shared" si="0"/>
        <v>7</v>
      </c>
      <c r="AF15" s="26">
        <f t="shared" si="0"/>
        <v>0</v>
      </c>
      <c r="AG15" s="26">
        <f t="shared" si="19"/>
        <v>370</v>
      </c>
      <c r="AH15" s="28">
        <f t="shared" si="20"/>
        <v>0</v>
      </c>
      <c r="AJ15" s="26">
        <f>IF(AG15&gt;=0,AF15*Parameters!$C$25,MAX(AD15+AE15,0)*Parameters!$C$25)</f>
        <v>0</v>
      </c>
      <c r="AK15" s="26">
        <f>IF(AG15&lt;0,-AG15*Parameters!$C$27,0)</f>
        <v>0</v>
      </c>
      <c r="AL15" s="26">
        <f>MAX(AG15,0)*Parameters!$C$26</f>
        <v>5550000</v>
      </c>
      <c r="AM15" s="29">
        <f t="shared" si="1"/>
        <v>5550000</v>
      </c>
    </row>
    <row r="16" spans="2:39" x14ac:dyDescent="0.25">
      <c r="B16" s="3">
        <f t="shared" si="21"/>
        <v>11</v>
      </c>
      <c r="C16" s="3">
        <f>IF(B16&lt;=Parameters!$C$9,1,2)</f>
        <v>1</v>
      </c>
      <c r="D16" s="26">
        <f t="shared" si="22"/>
        <v>1940</v>
      </c>
      <c r="E16" s="26">
        <f>ROUND(D16*IF(C16=1,Parameters!$E$13,Parameters!$E$14),0)</f>
        <v>12</v>
      </c>
      <c r="F16" s="26">
        <f>ROUND((E16+D16)*IF(C16=1,Parameters!$E$17,Parameters!$E$18),0)</f>
        <v>19</v>
      </c>
      <c r="G16" s="26">
        <f t="shared" si="2"/>
        <v>1933</v>
      </c>
      <c r="H16" s="26">
        <f t="shared" si="3"/>
        <v>1940</v>
      </c>
      <c r="I16" s="26">
        <f t="shared" si="4"/>
        <v>1933</v>
      </c>
      <c r="J16" s="26">
        <f t="shared" si="5"/>
        <v>7</v>
      </c>
      <c r="K16" s="26">
        <f t="shared" si="6"/>
        <v>0</v>
      </c>
      <c r="L16" s="12" t="b">
        <f t="shared" si="7"/>
        <v>1</v>
      </c>
      <c r="N16" s="3">
        <f t="shared" si="8"/>
        <v>11</v>
      </c>
      <c r="O16" s="10">
        <f>IF(N16&lt;=Parameters!$C$10,1,0)</f>
        <v>1</v>
      </c>
      <c r="P16" s="3">
        <f t="shared" si="23"/>
        <v>190</v>
      </c>
      <c r="Q16" s="4">
        <f>Parameters!$C$31*O16</f>
        <v>0</v>
      </c>
      <c r="R16" s="4">
        <f>ROUND((Q16+P16)*Parameters!$E$23,0)</f>
        <v>1</v>
      </c>
      <c r="S16" s="3">
        <f t="shared" si="9"/>
        <v>189</v>
      </c>
      <c r="T16" s="3">
        <f t="shared" si="10"/>
        <v>190</v>
      </c>
      <c r="U16" s="3">
        <f t="shared" si="11"/>
        <v>189</v>
      </c>
      <c r="V16" s="19">
        <f t="shared" si="12"/>
        <v>1</v>
      </c>
      <c r="W16" s="19">
        <f t="shared" si="13"/>
        <v>0</v>
      </c>
      <c r="X16" s="12" t="b">
        <f t="shared" si="14"/>
        <v>1</v>
      </c>
      <c r="Z16" s="3">
        <f t="shared" si="15"/>
        <v>11</v>
      </c>
      <c r="AA16" s="27">
        <f>Parameters!$C$7</f>
        <v>2500</v>
      </c>
      <c r="AB16" s="26">
        <f t="shared" si="16"/>
        <v>1940</v>
      </c>
      <c r="AC16" s="26">
        <f t="shared" si="17"/>
        <v>190</v>
      </c>
      <c r="AD16" s="26">
        <f t="shared" si="18"/>
        <v>370</v>
      </c>
      <c r="AE16" s="26">
        <f t="shared" si="0"/>
        <v>8</v>
      </c>
      <c r="AF16" s="26">
        <f t="shared" si="0"/>
        <v>0</v>
      </c>
      <c r="AG16" s="26">
        <f t="shared" si="19"/>
        <v>378</v>
      </c>
      <c r="AH16" s="28">
        <f t="shared" si="20"/>
        <v>0</v>
      </c>
      <c r="AJ16" s="26">
        <f>IF(AG16&gt;=0,AF16*Parameters!$C$25,MAX(AD16+AE16,0)*Parameters!$C$25)</f>
        <v>0</v>
      </c>
      <c r="AK16" s="26">
        <f>IF(AG16&lt;0,-AG16*Parameters!$C$27,0)</f>
        <v>0</v>
      </c>
      <c r="AL16" s="26">
        <f>MAX(AG16,0)*Parameters!$C$26</f>
        <v>5670000</v>
      </c>
      <c r="AM16" s="29">
        <f t="shared" si="1"/>
        <v>5670000</v>
      </c>
    </row>
    <row r="17" spans="2:39" x14ac:dyDescent="0.25">
      <c r="B17" s="3">
        <f t="shared" si="21"/>
        <v>12</v>
      </c>
      <c r="C17" s="3">
        <f>IF(B17&lt;=Parameters!$C$9,1,2)</f>
        <v>1</v>
      </c>
      <c r="D17" s="26">
        <f t="shared" si="22"/>
        <v>1933</v>
      </c>
      <c r="E17" s="26">
        <f>ROUND(D17*IF(C17=1,Parameters!$E$13,Parameters!$E$14),0)</f>
        <v>12</v>
      </c>
      <c r="F17" s="26">
        <f>ROUND((E17+D17)*IF(C17=1,Parameters!$E$17,Parameters!$E$18),0)</f>
        <v>18</v>
      </c>
      <c r="G17" s="26">
        <f t="shared" si="2"/>
        <v>1927</v>
      </c>
      <c r="H17" s="26">
        <f t="shared" si="3"/>
        <v>1933</v>
      </c>
      <c r="I17" s="26">
        <f t="shared" si="4"/>
        <v>1927</v>
      </c>
      <c r="J17" s="26">
        <f t="shared" si="5"/>
        <v>6</v>
      </c>
      <c r="K17" s="26">
        <f t="shared" si="6"/>
        <v>0</v>
      </c>
      <c r="L17" s="12" t="b">
        <f t="shared" si="7"/>
        <v>1</v>
      </c>
      <c r="N17" s="3">
        <f t="shared" si="8"/>
        <v>12</v>
      </c>
      <c r="O17" s="10">
        <f>IF(N17&lt;=Parameters!$C$10,1,0)</f>
        <v>1</v>
      </c>
      <c r="P17" s="3">
        <f t="shared" si="23"/>
        <v>189</v>
      </c>
      <c r="Q17" s="4">
        <f>Parameters!$C$31*O17</f>
        <v>0</v>
      </c>
      <c r="R17" s="4">
        <f>ROUND((Q17+P17)*Parameters!$E$23,0)</f>
        <v>1</v>
      </c>
      <c r="S17" s="3">
        <f t="shared" si="9"/>
        <v>188</v>
      </c>
      <c r="T17" s="3">
        <f t="shared" si="10"/>
        <v>189</v>
      </c>
      <c r="U17" s="3">
        <f t="shared" si="11"/>
        <v>188</v>
      </c>
      <c r="V17" s="19">
        <f t="shared" si="12"/>
        <v>1</v>
      </c>
      <c r="W17" s="19">
        <f t="shared" si="13"/>
        <v>0</v>
      </c>
      <c r="X17" s="12" t="b">
        <f t="shared" si="14"/>
        <v>1</v>
      </c>
      <c r="Z17" s="3">
        <f t="shared" si="15"/>
        <v>12</v>
      </c>
      <c r="AA17" s="27">
        <f>Parameters!$C$7</f>
        <v>2500</v>
      </c>
      <c r="AB17" s="26">
        <f t="shared" si="16"/>
        <v>1933</v>
      </c>
      <c r="AC17" s="26">
        <f t="shared" si="17"/>
        <v>189</v>
      </c>
      <c r="AD17" s="26">
        <f t="shared" si="18"/>
        <v>378</v>
      </c>
      <c r="AE17" s="26">
        <f t="shared" si="0"/>
        <v>7</v>
      </c>
      <c r="AF17" s="26">
        <f t="shared" si="0"/>
        <v>0</v>
      </c>
      <c r="AG17" s="26">
        <f t="shared" si="19"/>
        <v>385</v>
      </c>
      <c r="AH17" s="28">
        <f t="shared" si="20"/>
        <v>0</v>
      </c>
      <c r="AJ17" s="26">
        <f>IF(AG17&gt;=0,AF17*Parameters!$C$25,MAX(AD17+AE17,0)*Parameters!$C$25)</f>
        <v>0</v>
      </c>
      <c r="AK17" s="26">
        <f>IF(AG17&lt;0,-AG17*Parameters!$C$27,0)</f>
        <v>0</v>
      </c>
      <c r="AL17" s="26">
        <f>MAX(AG17,0)*Parameters!$C$26</f>
        <v>5775000</v>
      </c>
      <c r="AM17" s="29">
        <f t="shared" si="1"/>
        <v>5775000</v>
      </c>
    </row>
    <row r="18" spans="2:39" x14ac:dyDescent="0.25">
      <c r="B18" s="3">
        <f t="shared" si="21"/>
        <v>13</v>
      </c>
      <c r="C18" s="3">
        <f>IF(B18&lt;=Parameters!$C$9,1,2)</f>
        <v>1</v>
      </c>
      <c r="D18" s="26">
        <f t="shared" si="22"/>
        <v>1927</v>
      </c>
      <c r="E18" s="26">
        <f>ROUND(D18*IF(C18=1,Parameters!$E$13,Parameters!$E$14),0)</f>
        <v>12</v>
      </c>
      <c r="F18" s="26">
        <f>ROUND((E18+D18)*IF(C18=1,Parameters!$E$17,Parameters!$E$18),0)</f>
        <v>18</v>
      </c>
      <c r="G18" s="26">
        <f t="shared" si="2"/>
        <v>1921</v>
      </c>
      <c r="H18" s="26">
        <f t="shared" si="3"/>
        <v>1927</v>
      </c>
      <c r="I18" s="26">
        <f t="shared" si="4"/>
        <v>1921</v>
      </c>
      <c r="J18" s="26">
        <f t="shared" si="5"/>
        <v>6</v>
      </c>
      <c r="K18" s="26">
        <f t="shared" si="6"/>
        <v>0</v>
      </c>
      <c r="L18" s="12" t="b">
        <f t="shared" si="7"/>
        <v>1</v>
      </c>
      <c r="N18" s="3">
        <f t="shared" si="8"/>
        <v>13</v>
      </c>
      <c r="O18" s="10">
        <f>IF(N18&lt;=Parameters!$C$10,1,0)</f>
        <v>1</v>
      </c>
      <c r="P18" s="3">
        <f t="shared" si="23"/>
        <v>188</v>
      </c>
      <c r="Q18" s="4">
        <f>Parameters!$C$31*O18</f>
        <v>0</v>
      </c>
      <c r="R18" s="4">
        <f>ROUND((Q18+P18)*Parameters!$E$23,0)</f>
        <v>1</v>
      </c>
      <c r="S18" s="3">
        <f t="shared" si="9"/>
        <v>187</v>
      </c>
      <c r="T18" s="3">
        <f t="shared" si="10"/>
        <v>188</v>
      </c>
      <c r="U18" s="3">
        <f t="shared" si="11"/>
        <v>187</v>
      </c>
      <c r="V18" s="19">
        <f t="shared" si="12"/>
        <v>1</v>
      </c>
      <c r="W18" s="19">
        <f t="shared" si="13"/>
        <v>0</v>
      </c>
      <c r="X18" s="12" t="b">
        <f t="shared" si="14"/>
        <v>1</v>
      </c>
      <c r="Z18" s="3">
        <f t="shared" si="15"/>
        <v>13</v>
      </c>
      <c r="AA18" s="27">
        <f>Parameters!$C$7</f>
        <v>2500</v>
      </c>
      <c r="AB18" s="26">
        <f t="shared" si="16"/>
        <v>1927</v>
      </c>
      <c r="AC18" s="26">
        <f t="shared" si="17"/>
        <v>188</v>
      </c>
      <c r="AD18" s="26">
        <f t="shared" si="18"/>
        <v>385</v>
      </c>
      <c r="AE18" s="26">
        <f t="shared" si="0"/>
        <v>7</v>
      </c>
      <c r="AF18" s="26">
        <f t="shared" si="0"/>
        <v>0</v>
      </c>
      <c r="AG18" s="26">
        <f t="shared" si="19"/>
        <v>392</v>
      </c>
      <c r="AH18" s="28">
        <f t="shared" si="20"/>
        <v>0</v>
      </c>
      <c r="AJ18" s="26">
        <f>IF(AG18&gt;=0,AF18*Parameters!$C$25,MAX(AD18+AE18,0)*Parameters!$C$25)</f>
        <v>0</v>
      </c>
      <c r="AK18" s="26">
        <f>IF(AG18&lt;0,-AG18*Parameters!$C$27,0)</f>
        <v>0</v>
      </c>
      <c r="AL18" s="26">
        <f>MAX(AG18,0)*Parameters!$C$26</f>
        <v>5880000</v>
      </c>
      <c r="AM18" s="29">
        <f t="shared" si="1"/>
        <v>5880000</v>
      </c>
    </row>
    <row r="19" spans="2:39" x14ac:dyDescent="0.25">
      <c r="B19" s="3">
        <f t="shared" si="21"/>
        <v>14</v>
      </c>
      <c r="C19" s="3">
        <f>IF(B19&lt;=Parameters!$C$9,1,2)</f>
        <v>1</v>
      </c>
      <c r="D19" s="26">
        <f t="shared" si="22"/>
        <v>1921</v>
      </c>
      <c r="E19" s="26">
        <f>ROUND(D19*IF(C19=1,Parameters!$E$13,Parameters!$E$14),0)</f>
        <v>12</v>
      </c>
      <c r="F19" s="26">
        <f>ROUND((E19+D19)*IF(C19=1,Parameters!$E$17,Parameters!$E$18),0)</f>
        <v>18</v>
      </c>
      <c r="G19" s="26">
        <f t="shared" si="2"/>
        <v>1915</v>
      </c>
      <c r="H19" s="26">
        <f t="shared" si="3"/>
        <v>1921</v>
      </c>
      <c r="I19" s="26">
        <f t="shared" si="4"/>
        <v>1915</v>
      </c>
      <c r="J19" s="26">
        <f t="shared" si="5"/>
        <v>6</v>
      </c>
      <c r="K19" s="26">
        <f t="shared" si="6"/>
        <v>0</v>
      </c>
      <c r="L19" s="12" t="b">
        <f t="shared" si="7"/>
        <v>1</v>
      </c>
      <c r="N19" s="3">
        <f t="shared" si="8"/>
        <v>14</v>
      </c>
      <c r="O19" s="10">
        <f>IF(N19&lt;=Parameters!$C$10,1,0)</f>
        <v>1</v>
      </c>
      <c r="P19" s="3">
        <f t="shared" si="23"/>
        <v>187</v>
      </c>
      <c r="Q19" s="4">
        <f>Parameters!$C$31*O19</f>
        <v>0</v>
      </c>
      <c r="R19" s="4">
        <f>ROUND((Q19+P19)*Parameters!$E$23,0)</f>
        <v>1</v>
      </c>
      <c r="S19" s="3">
        <f t="shared" si="9"/>
        <v>186</v>
      </c>
      <c r="T19" s="3">
        <f t="shared" si="10"/>
        <v>187</v>
      </c>
      <c r="U19" s="3">
        <f t="shared" si="11"/>
        <v>186</v>
      </c>
      <c r="V19" s="19">
        <f t="shared" si="12"/>
        <v>1</v>
      </c>
      <c r="W19" s="19">
        <f t="shared" si="13"/>
        <v>0</v>
      </c>
      <c r="X19" s="12" t="b">
        <f t="shared" si="14"/>
        <v>1</v>
      </c>
      <c r="Z19" s="3">
        <f t="shared" si="15"/>
        <v>14</v>
      </c>
      <c r="AA19" s="27">
        <f>Parameters!$C$7</f>
        <v>2500</v>
      </c>
      <c r="AB19" s="26">
        <f t="shared" si="16"/>
        <v>1921</v>
      </c>
      <c r="AC19" s="26">
        <f t="shared" si="17"/>
        <v>187</v>
      </c>
      <c r="AD19" s="26">
        <f t="shared" si="18"/>
        <v>392</v>
      </c>
      <c r="AE19" s="26">
        <f t="shared" si="0"/>
        <v>7</v>
      </c>
      <c r="AF19" s="26">
        <f t="shared" si="0"/>
        <v>0</v>
      </c>
      <c r="AG19" s="26">
        <f t="shared" si="19"/>
        <v>399</v>
      </c>
      <c r="AH19" s="28">
        <f t="shared" si="20"/>
        <v>0</v>
      </c>
      <c r="AJ19" s="26">
        <f>IF(AG19&gt;=0,AF19*Parameters!$C$25,MAX(AD19+AE19,0)*Parameters!$C$25)</f>
        <v>0</v>
      </c>
      <c r="AK19" s="26">
        <f>IF(AG19&lt;0,-AG19*Parameters!$C$27,0)</f>
        <v>0</v>
      </c>
      <c r="AL19" s="26">
        <f>MAX(AG19,0)*Parameters!$C$26</f>
        <v>5985000</v>
      </c>
      <c r="AM19" s="29">
        <f t="shared" si="1"/>
        <v>5985000</v>
      </c>
    </row>
    <row r="20" spans="2:39" x14ac:dyDescent="0.25">
      <c r="B20" s="3">
        <f t="shared" si="21"/>
        <v>15</v>
      </c>
      <c r="C20" s="3">
        <f>IF(B20&lt;=Parameters!$C$9,1,2)</f>
        <v>1</v>
      </c>
      <c r="D20" s="26">
        <f t="shared" si="22"/>
        <v>1915</v>
      </c>
      <c r="E20" s="26">
        <f>ROUND(D20*IF(C20=1,Parameters!$E$13,Parameters!$E$14),0)</f>
        <v>12</v>
      </c>
      <c r="F20" s="26">
        <f>ROUND((E20+D20)*IF(C20=1,Parameters!$E$17,Parameters!$E$18),0)</f>
        <v>18</v>
      </c>
      <c r="G20" s="26">
        <f t="shared" si="2"/>
        <v>1909</v>
      </c>
      <c r="H20" s="26">
        <f t="shared" si="3"/>
        <v>1915</v>
      </c>
      <c r="I20" s="26">
        <f t="shared" si="4"/>
        <v>1909</v>
      </c>
      <c r="J20" s="26">
        <f t="shared" si="5"/>
        <v>6</v>
      </c>
      <c r="K20" s="26">
        <f t="shared" si="6"/>
        <v>0</v>
      </c>
      <c r="L20" s="12" t="b">
        <f t="shared" si="7"/>
        <v>1</v>
      </c>
      <c r="N20" s="3">
        <f t="shared" si="8"/>
        <v>15</v>
      </c>
      <c r="O20" s="10">
        <f>IF(N20&lt;=Parameters!$C$10,1,0)</f>
        <v>1</v>
      </c>
      <c r="P20" s="3">
        <f t="shared" si="23"/>
        <v>186</v>
      </c>
      <c r="Q20" s="4">
        <f>Parameters!$C$31*O20</f>
        <v>0</v>
      </c>
      <c r="R20" s="4">
        <f>ROUND((Q20+P20)*Parameters!$E$23,0)</f>
        <v>1</v>
      </c>
      <c r="S20" s="3">
        <f t="shared" si="9"/>
        <v>185</v>
      </c>
      <c r="T20" s="3">
        <f t="shared" si="10"/>
        <v>186</v>
      </c>
      <c r="U20" s="3">
        <f t="shared" si="11"/>
        <v>185</v>
      </c>
      <c r="V20" s="19">
        <f t="shared" si="12"/>
        <v>1</v>
      </c>
      <c r="W20" s="19">
        <f t="shared" si="13"/>
        <v>0</v>
      </c>
      <c r="X20" s="12" t="b">
        <f t="shared" si="14"/>
        <v>1</v>
      </c>
      <c r="Z20" s="3">
        <f t="shared" si="15"/>
        <v>15</v>
      </c>
      <c r="AA20" s="27">
        <f>Parameters!$C$7</f>
        <v>2500</v>
      </c>
      <c r="AB20" s="26">
        <f t="shared" si="16"/>
        <v>1915</v>
      </c>
      <c r="AC20" s="26">
        <f t="shared" si="17"/>
        <v>186</v>
      </c>
      <c r="AD20" s="26">
        <f t="shared" si="18"/>
        <v>399</v>
      </c>
      <c r="AE20" s="26">
        <f t="shared" si="0"/>
        <v>7</v>
      </c>
      <c r="AF20" s="26">
        <f t="shared" si="0"/>
        <v>0</v>
      </c>
      <c r="AG20" s="26">
        <f t="shared" si="19"/>
        <v>406</v>
      </c>
      <c r="AH20" s="28">
        <f t="shared" si="20"/>
        <v>0</v>
      </c>
      <c r="AJ20" s="26">
        <f>IF(AG20&gt;=0,AF20*Parameters!$C$25,MAX(AD20+AE20,0)*Parameters!$C$25)</f>
        <v>0</v>
      </c>
      <c r="AK20" s="26">
        <f>IF(AG20&lt;0,-AG20*Parameters!$C$27,0)</f>
        <v>0</v>
      </c>
      <c r="AL20" s="26">
        <f>MAX(AG20,0)*Parameters!$C$26</f>
        <v>6090000</v>
      </c>
      <c r="AM20" s="29">
        <f t="shared" si="1"/>
        <v>6090000</v>
      </c>
    </row>
    <row r="21" spans="2:39" x14ac:dyDescent="0.25">
      <c r="B21" s="3">
        <f t="shared" si="21"/>
        <v>16</v>
      </c>
      <c r="C21" s="3">
        <f>IF(B21&lt;=Parameters!$C$9,1,2)</f>
        <v>1</v>
      </c>
      <c r="D21" s="26">
        <f t="shared" si="22"/>
        <v>1909</v>
      </c>
      <c r="E21" s="26">
        <f>ROUND(D21*IF(C21=1,Parameters!$E$13,Parameters!$E$14),0)</f>
        <v>12</v>
      </c>
      <c r="F21" s="26">
        <f>ROUND((E21+D21)*IF(C21=1,Parameters!$E$17,Parameters!$E$18),0)</f>
        <v>18</v>
      </c>
      <c r="G21" s="26">
        <f t="shared" si="2"/>
        <v>1903</v>
      </c>
      <c r="H21" s="26">
        <f t="shared" si="3"/>
        <v>1909</v>
      </c>
      <c r="I21" s="26">
        <f t="shared" si="4"/>
        <v>1903</v>
      </c>
      <c r="J21" s="26">
        <f t="shared" si="5"/>
        <v>6</v>
      </c>
      <c r="K21" s="26">
        <f t="shared" si="6"/>
        <v>0</v>
      </c>
      <c r="L21" s="12" t="b">
        <f t="shared" si="7"/>
        <v>1</v>
      </c>
      <c r="N21" s="3">
        <f t="shared" si="8"/>
        <v>16</v>
      </c>
      <c r="O21" s="10">
        <f>IF(N21&lt;=Parameters!$C$10,1,0)</f>
        <v>1</v>
      </c>
      <c r="P21" s="3">
        <f t="shared" si="23"/>
        <v>185</v>
      </c>
      <c r="Q21" s="4">
        <f>Parameters!$C$31*O21</f>
        <v>0</v>
      </c>
      <c r="R21" s="4">
        <f>ROUND((Q21+P21)*Parameters!$E$23,0)</f>
        <v>1</v>
      </c>
      <c r="S21" s="3">
        <f t="shared" si="9"/>
        <v>184</v>
      </c>
      <c r="T21" s="3">
        <f t="shared" si="10"/>
        <v>185</v>
      </c>
      <c r="U21" s="3">
        <f t="shared" si="11"/>
        <v>184</v>
      </c>
      <c r="V21" s="19">
        <f t="shared" si="12"/>
        <v>1</v>
      </c>
      <c r="W21" s="19">
        <f t="shared" si="13"/>
        <v>0</v>
      </c>
      <c r="X21" s="12" t="b">
        <f t="shared" si="14"/>
        <v>1</v>
      </c>
      <c r="Z21" s="3">
        <f t="shared" si="15"/>
        <v>16</v>
      </c>
      <c r="AA21" s="27">
        <f>Parameters!$C$7</f>
        <v>2500</v>
      </c>
      <c r="AB21" s="26">
        <f t="shared" si="16"/>
        <v>1909</v>
      </c>
      <c r="AC21" s="26">
        <f t="shared" si="17"/>
        <v>185</v>
      </c>
      <c r="AD21" s="26">
        <f t="shared" si="18"/>
        <v>406</v>
      </c>
      <c r="AE21" s="26">
        <f t="shared" si="0"/>
        <v>7</v>
      </c>
      <c r="AF21" s="26">
        <f t="shared" si="0"/>
        <v>0</v>
      </c>
      <c r="AG21" s="26">
        <f t="shared" si="19"/>
        <v>413</v>
      </c>
      <c r="AH21" s="28">
        <f t="shared" si="20"/>
        <v>0</v>
      </c>
      <c r="AJ21" s="26">
        <f>IF(AG21&gt;=0,AF21*Parameters!$C$25,MAX(AD21+AE21,0)*Parameters!$C$25)</f>
        <v>0</v>
      </c>
      <c r="AK21" s="26">
        <f>IF(AG21&lt;0,-AG21*Parameters!$C$27,0)</f>
        <v>0</v>
      </c>
      <c r="AL21" s="26">
        <f>MAX(AG21,0)*Parameters!$C$26</f>
        <v>6195000</v>
      </c>
      <c r="AM21" s="29">
        <f t="shared" si="1"/>
        <v>6195000</v>
      </c>
    </row>
    <row r="22" spans="2:39" x14ac:dyDescent="0.25">
      <c r="B22" s="3">
        <f t="shared" si="21"/>
        <v>17</v>
      </c>
      <c r="C22" s="3">
        <f>IF(B22&lt;=Parameters!$C$9,1,2)</f>
        <v>1</v>
      </c>
      <c r="D22" s="26">
        <f t="shared" si="22"/>
        <v>1903</v>
      </c>
      <c r="E22" s="26">
        <f>ROUND(D22*IF(C22=1,Parameters!$E$13,Parameters!$E$14),0)</f>
        <v>12</v>
      </c>
      <c r="F22" s="26">
        <f>ROUND((E22+D22)*IF(C22=1,Parameters!$E$17,Parameters!$E$18),0)</f>
        <v>18</v>
      </c>
      <c r="G22" s="26">
        <f t="shared" si="2"/>
        <v>1897</v>
      </c>
      <c r="H22" s="26">
        <f t="shared" si="3"/>
        <v>1903</v>
      </c>
      <c r="I22" s="26">
        <f t="shared" si="4"/>
        <v>1897</v>
      </c>
      <c r="J22" s="26">
        <f t="shared" si="5"/>
        <v>6</v>
      </c>
      <c r="K22" s="26">
        <f t="shared" si="6"/>
        <v>0</v>
      </c>
      <c r="L22" s="12" t="b">
        <f t="shared" si="7"/>
        <v>1</v>
      </c>
      <c r="N22" s="3">
        <f t="shared" si="8"/>
        <v>17</v>
      </c>
      <c r="O22" s="10">
        <f>IF(N22&lt;=Parameters!$C$10,1,0)</f>
        <v>1</v>
      </c>
      <c r="P22" s="3">
        <f t="shared" si="23"/>
        <v>184</v>
      </c>
      <c r="Q22" s="4">
        <f>Parameters!$C$31*O22</f>
        <v>0</v>
      </c>
      <c r="R22" s="4">
        <f>ROUND((Q22+P22)*Parameters!$E$23,0)</f>
        <v>1</v>
      </c>
      <c r="S22" s="3">
        <f t="shared" si="9"/>
        <v>183</v>
      </c>
      <c r="T22" s="3">
        <f t="shared" si="10"/>
        <v>184</v>
      </c>
      <c r="U22" s="3">
        <f t="shared" si="11"/>
        <v>183</v>
      </c>
      <c r="V22" s="19">
        <f t="shared" si="12"/>
        <v>1</v>
      </c>
      <c r="W22" s="19">
        <f t="shared" si="13"/>
        <v>0</v>
      </c>
      <c r="X22" s="12" t="b">
        <f t="shared" si="14"/>
        <v>1</v>
      </c>
      <c r="Z22" s="3">
        <f t="shared" si="15"/>
        <v>17</v>
      </c>
      <c r="AA22" s="27">
        <f>Parameters!$C$7</f>
        <v>2500</v>
      </c>
      <c r="AB22" s="26">
        <f t="shared" si="16"/>
        <v>1903</v>
      </c>
      <c r="AC22" s="26">
        <f t="shared" si="17"/>
        <v>184</v>
      </c>
      <c r="AD22" s="26">
        <f t="shared" si="18"/>
        <v>413</v>
      </c>
      <c r="AE22" s="26">
        <f t="shared" si="0"/>
        <v>7</v>
      </c>
      <c r="AF22" s="26">
        <f t="shared" si="0"/>
        <v>0</v>
      </c>
      <c r="AG22" s="26">
        <f t="shared" si="19"/>
        <v>420</v>
      </c>
      <c r="AH22" s="28">
        <f t="shared" si="20"/>
        <v>0</v>
      </c>
      <c r="AJ22" s="26">
        <f>IF(AG22&gt;=0,AF22*Parameters!$C$25,MAX(AD22+AE22,0)*Parameters!$C$25)</f>
        <v>0</v>
      </c>
      <c r="AK22" s="26">
        <f>IF(AG22&lt;0,-AG22*Parameters!$C$27,0)</f>
        <v>0</v>
      </c>
      <c r="AL22" s="26">
        <f>MAX(AG22,0)*Parameters!$C$26</f>
        <v>6300000</v>
      </c>
      <c r="AM22" s="29">
        <f t="shared" si="1"/>
        <v>6300000</v>
      </c>
    </row>
    <row r="23" spans="2:39" x14ac:dyDescent="0.25">
      <c r="B23" s="3">
        <f t="shared" si="21"/>
        <v>18</v>
      </c>
      <c r="C23" s="3">
        <f>IF(B23&lt;=Parameters!$C$9,1,2)</f>
        <v>1</v>
      </c>
      <c r="D23" s="26">
        <f t="shared" si="22"/>
        <v>1897</v>
      </c>
      <c r="E23" s="26">
        <f>ROUND(D23*IF(C23=1,Parameters!$E$13,Parameters!$E$14),0)</f>
        <v>12</v>
      </c>
      <c r="F23" s="26">
        <f>ROUND((E23+D23)*IF(C23=1,Parameters!$E$17,Parameters!$E$18),0)</f>
        <v>18</v>
      </c>
      <c r="G23" s="26">
        <f t="shared" si="2"/>
        <v>1891</v>
      </c>
      <c r="H23" s="26">
        <f t="shared" si="3"/>
        <v>1897</v>
      </c>
      <c r="I23" s="26">
        <f t="shared" si="4"/>
        <v>1891</v>
      </c>
      <c r="J23" s="26">
        <f t="shared" si="5"/>
        <v>6</v>
      </c>
      <c r="K23" s="26">
        <f t="shared" si="6"/>
        <v>0</v>
      </c>
      <c r="L23" s="12" t="b">
        <f t="shared" si="7"/>
        <v>1</v>
      </c>
      <c r="N23" s="3">
        <f t="shared" si="8"/>
        <v>18</v>
      </c>
      <c r="O23" s="10">
        <f>IF(N23&lt;=Parameters!$C$10,1,0)</f>
        <v>1</v>
      </c>
      <c r="P23" s="3">
        <f t="shared" si="23"/>
        <v>183</v>
      </c>
      <c r="Q23" s="4">
        <f>Parameters!$C$31*O23</f>
        <v>0</v>
      </c>
      <c r="R23" s="4">
        <f>ROUND((Q23+P23)*Parameters!$E$23,0)</f>
        <v>1</v>
      </c>
      <c r="S23" s="3">
        <f t="shared" si="9"/>
        <v>182</v>
      </c>
      <c r="T23" s="3">
        <f t="shared" si="10"/>
        <v>183</v>
      </c>
      <c r="U23" s="3">
        <f t="shared" si="11"/>
        <v>182</v>
      </c>
      <c r="V23" s="19">
        <f t="shared" si="12"/>
        <v>1</v>
      </c>
      <c r="W23" s="19">
        <f t="shared" si="13"/>
        <v>0</v>
      </c>
      <c r="X23" s="12" t="b">
        <f t="shared" si="14"/>
        <v>1</v>
      </c>
      <c r="Z23" s="3">
        <f t="shared" si="15"/>
        <v>18</v>
      </c>
      <c r="AA23" s="27">
        <f>Parameters!$C$7</f>
        <v>2500</v>
      </c>
      <c r="AB23" s="26">
        <f t="shared" si="16"/>
        <v>1897</v>
      </c>
      <c r="AC23" s="26">
        <f t="shared" si="17"/>
        <v>183</v>
      </c>
      <c r="AD23" s="26">
        <f t="shared" si="18"/>
        <v>420</v>
      </c>
      <c r="AE23" s="26">
        <f t="shared" si="0"/>
        <v>7</v>
      </c>
      <c r="AF23" s="26">
        <f t="shared" si="0"/>
        <v>0</v>
      </c>
      <c r="AG23" s="26">
        <f t="shared" si="19"/>
        <v>427</v>
      </c>
      <c r="AH23" s="28">
        <f t="shared" si="20"/>
        <v>0</v>
      </c>
      <c r="AJ23" s="26">
        <f>IF(AG23&gt;=0,AF23*Parameters!$C$25,MAX(AD23+AE23,0)*Parameters!$C$25)</f>
        <v>0</v>
      </c>
      <c r="AK23" s="26">
        <f>IF(AG23&lt;0,-AG23*Parameters!$C$27,0)</f>
        <v>0</v>
      </c>
      <c r="AL23" s="26">
        <f>MAX(AG23,0)*Parameters!$C$26</f>
        <v>6405000</v>
      </c>
      <c r="AM23" s="29">
        <f t="shared" si="1"/>
        <v>6405000</v>
      </c>
    </row>
    <row r="24" spans="2:39" x14ac:dyDescent="0.25">
      <c r="B24" s="3">
        <f t="shared" si="21"/>
        <v>19</v>
      </c>
      <c r="C24" s="3">
        <f>IF(B24&lt;=Parameters!$C$9,1,2)</f>
        <v>2</v>
      </c>
      <c r="D24" s="26">
        <f t="shared" si="22"/>
        <v>1891</v>
      </c>
      <c r="E24" s="26">
        <f>ROUND(D24*IF(C24=1,Parameters!$E$13,Parameters!$E$14),0)</f>
        <v>26</v>
      </c>
      <c r="F24" s="26">
        <f>ROUND((E24+D24)*IF(C24=1,Parameters!$E$17,Parameters!$E$18),0)</f>
        <v>6</v>
      </c>
      <c r="G24" s="26">
        <f t="shared" si="2"/>
        <v>1911</v>
      </c>
      <c r="H24" s="26">
        <f t="shared" si="3"/>
        <v>1891</v>
      </c>
      <c r="I24" s="26">
        <f t="shared" si="4"/>
        <v>1911</v>
      </c>
      <c r="J24" s="26">
        <f t="shared" si="5"/>
        <v>0</v>
      </c>
      <c r="K24" s="26">
        <f t="shared" si="6"/>
        <v>20</v>
      </c>
      <c r="L24" s="12" t="b">
        <f t="shared" si="7"/>
        <v>1</v>
      </c>
      <c r="N24" s="3">
        <f t="shared" si="8"/>
        <v>19</v>
      </c>
      <c r="O24" s="10">
        <f>IF(N24&lt;=Parameters!$C$10,1,0)</f>
        <v>1</v>
      </c>
      <c r="P24" s="3">
        <f t="shared" si="23"/>
        <v>182</v>
      </c>
      <c r="Q24" s="4">
        <f>Parameters!$C$31*O24</f>
        <v>0</v>
      </c>
      <c r="R24" s="4">
        <f>ROUND((Q24+P24)*Parameters!$E$23,0)</f>
        <v>1</v>
      </c>
      <c r="S24" s="3">
        <f t="shared" si="9"/>
        <v>181</v>
      </c>
      <c r="T24" s="3">
        <f t="shared" si="10"/>
        <v>182</v>
      </c>
      <c r="U24" s="3">
        <f t="shared" si="11"/>
        <v>181</v>
      </c>
      <c r="V24" s="19">
        <f t="shared" si="12"/>
        <v>1</v>
      </c>
      <c r="W24" s="19">
        <f t="shared" si="13"/>
        <v>0</v>
      </c>
      <c r="X24" s="12" t="b">
        <f t="shared" si="14"/>
        <v>1</v>
      </c>
      <c r="Z24" s="3">
        <f t="shared" si="15"/>
        <v>19</v>
      </c>
      <c r="AA24" s="27">
        <f>Parameters!$C$7</f>
        <v>2500</v>
      </c>
      <c r="AB24" s="26">
        <f t="shared" si="16"/>
        <v>1891</v>
      </c>
      <c r="AC24" s="26">
        <f t="shared" si="17"/>
        <v>182</v>
      </c>
      <c r="AD24" s="26">
        <f t="shared" si="18"/>
        <v>427</v>
      </c>
      <c r="AE24" s="26">
        <f t="shared" si="0"/>
        <v>1</v>
      </c>
      <c r="AF24" s="26">
        <f t="shared" si="0"/>
        <v>20</v>
      </c>
      <c r="AG24" s="26">
        <f t="shared" si="19"/>
        <v>408</v>
      </c>
      <c r="AH24" s="28">
        <f t="shared" si="20"/>
        <v>0</v>
      </c>
      <c r="AJ24" s="26">
        <f>IF(AG24&gt;=0,AF24*Parameters!$C$25,MAX(AD24+AE24,0)*Parameters!$C$25)</f>
        <v>1000000</v>
      </c>
      <c r="AK24" s="26">
        <f>IF(AG24&lt;0,-AG24*Parameters!$C$27,0)</f>
        <v>0</v>
      </c>
      <c r="AL24" s="26">
        <f>MAX(AG24,0)*Parameters!$C$26</f>
        <v>6120000</v>
      </c>
      <c r="AM24" s="29">
        <f t="shared" si="1"/>
        <v>7120000</v>
      </c>
    </row>
    <row r="25" spans="2:39" x14ac:dyDescent="0.25">
      <c r="B25" s="3">
        <f t="shared" si="21"/>
        <v>20</v>
      </c>
      <c r="C25" s="3">
        <f>IF(B25&lt;=Parameters!$C$9,1,2)</f>
        <v>2</v>
      </c>
      <c r="D25" s="26">
        <f t="shared" si="22"/>
        <v>1911</v>
      </c>
      <c r="E25" s="26">
        <f>ROUND(D25*IF(C25=1,Parameters!$E$13,Parameters!$E$14),0)</f>
        <v>27</v>
      </c>
      <c r="F25" s="26">
        <f>ROUND((E25+D25)*IF(C25=1,Parameters!$E$17,Parameters!$E$18),0)</f>
        <v>6</v>
      </c>
      <c r="G25" s="26">
        <f t="shared" si="2"/>
        <v>1932</v>
      </c>
      <c r="H25" s="26">
        <f t="shared" si="3"/>
        <v>1911</v>
      </c>
      <c r="I25" s="26">
        <f t="shared" si="4"/>
        <v>1932</v>
      </c>
      <c r="J25" s="26">
        <f t="shared" si="5"/>
        <v>0</v>
      </c>
      <c r="K25" s="26">
        <f t="shared" si="6"/>
        <v>21</v>
      </c>
      <c r="L25" s="12" t="b">
        <f t="shared" si="7"/>
        <v>1</v>
      </c>
      <c r="N25" s="3">
        <f t="shared" si="8"/>
        <v>20</v>
      </c>
      <c r="O25" s="10">
        <f>IF(N25&lt;=Parameters!$C$10,1,0)</f>
        <v>0</v>
      </c>
      <c r="P25" s="3">
        <f t="shared" si="23"/>
        <v>181</v>
      </c>
      <c r="Q25" s="4">
        <f>Parameters!$C$31*O25</f>
        <v>0</v>
      </c>
      <c r="R25" s="4">
        <f>ROUND((Q25+P25)*Parameters!$E$23,0)</f>
        <v>1</v>
      </c>
      <c r="S25" s="3">
        <f t="shared" si="9"/>
        <v>180</v>
      </c>
      <c r="T25" s="3">
        <f t="shared" si="10"/>
        <v>181</v>
      </c>
      <c r="U25" s="3">
        <f t="shared" si="11"/>
        <v>180</v>
      </c>
      <c r="V25" s="19">
        <f t="shared" si="12"/>
        <v>1</v>
      </c>
      <c r="W25" s="19">
        <f t="shared" si="13"/>
        <v>0</v>
      </c>
      <c r="X25" s="12" t="b">
        <f t="shared" si="14"/>
        <v>1</v>
      </c>
      <c r="Z25" s="3">
        <f t="shared" si="15"/>
        <v>20</v>
      </c>
      <c r="AA25" s="27">
        <f>Parameters!$C$7</f>
        <v>2500</v>
      </c>
      <c r="AB25" s="26">
        <f t="shared" si="16"/>
        <v>1911</v>
      </c>
      <c r="AC25" s="26">
        <f t="shared" si="17"/>
        <v>181</v>
      </c>
      <c r="AD25" s="26">
        <f t="shared" si="18"/>
        <v>408</v>
      </c>
      <c r="AE25" s="26">
        <f t="shared" si="0"/>
        <v>1</v>
      </c>
      <c r="AF25" s="26">
        <f t="shared" si="0"/>
        <v>21</v>
      </c>
      <c r="AG25" s="26">
        <f t="shared" si="19"/>
        <v>388</v>
      </c>
      <c r="AH25" s="28">
        <f t="shared" si="20"/>
        <v>0</v>
      </c>
      <c r="AJ25" s="26">
        <f>IF(AG25&gt;=0,AF25*Parameters!$C$25,MAX(AD25+AE25,0)*Parameters!$C$25)</f>
        <v>1050000</v>
      </c>
      <c r="AK25" s="26">
        <f>IF(AG25&lt;0,-AG25*Parameters!$C$27,0)</f>
        <v>0</v>
      </c>
      <c r="AL25" s="26">
        <f>MAX(AG25,0)*Parameters!$C$26</f>
        <v>5820000</v>
      </c>
      <c r="AM25" s="29">
        <f t="shared" si="1"/>
        <v>6870000</v>
      </c>
    </row>
    <row r="26" spans="2:39" x14ac:dyDescent="0.25">
      <c r="B26" s="3">
        <f t="shared" si="21"/>
        <v>21</v>
      </c>
      <c r="C26" s="3">
        <f>IF(B26&lt;=Parameters!$C$9,1,2)</f>
        <v>2</v>
      </c>
      <c r="D26" s="26">
        <f t="shared" si="22"/>
        <v>1932</v>
      </c>
      <c r="E26" s="26">
        <f>ROUND(D26*IF(C26=1,Parameters!$E$13,Parameters!$E$14),0)</f>
        <v>27</v>
      </c>
      <c r="F26" s="26">
        <f>ROUND((E26+D26)*IF(C26=1,Parameters!$E$17,Parameters!$E$18),0)</f>
        <v>6</v>
      </c>
      <c r="G26" s="26">
        <f t="shared" si="2"/>
        <v>1953</v>
      </c>
      <c r="H26" s="26">
        <f t="shared" si="3"/>
        <v>1932</v>
      </c>
      <c r="I26" s="26">
        <f t="shared" si="4"/>
        <v>1953</v>
      </c>
      <c r="J26" s="26">
        <f t="shared" si="5"/>
        <v>0</v>
      </c>
      <c r="K26" s="26">
        <f t="shared" si="6"/>
        <v>21</v>
      </c>
      <c r="L26" s="12" t="b">
        <f t="shared" si="7"/>
        <v>1</v>
      </c>
      <c r="N26" s="3">
        <f t="shared" si="8"/>
        <v>21</v>
      </c>
      <c r="O26" s="10">
        <f>IF(N26&lt;=Parameters!$C$10,1,0)</f>
        <v>0</v>
      </c>
      <c r="P26" s="3">
        <f t="shared" si="23"/>
        <v>180</v>
      </c>
      <c r="Q26" s="4">
        <f>Parameters!$C$31*O26</f>
        <v>0</v>
      </c>
      <c r="R26" s="4">
        <f>ROUND((Q26+P26)*Parameters!$E$23,0)</f>
        <v>1</v>
      </c>
      <c r="S26" s="3">
        <f t="shared" si="9"/>
        <v>179</v>
      </c>
      <c r="T26" s="3">
        <f t="shared" si="10"/>
        <v>180</v>
      </c>
      <c r="U26" s="3">
        <f t="shared" si="11"/>
        <v>179</v>
      </c>
      <c r="V26" s="19">
        <f t="shared" si="12"/>
        <v>1</v>
      </c>
      <c r="W26" s="19">
        <f t="shared" si="13"/>
        <v>0</v>
      </c>
      <c r="X26" s="12" t="b">
        <f t="shared" si="14"/>
        <v>1</v>
      </c>
      <c r="Z26" s="3">
        <f t="shared" si="15"/>
        <v>21</v>
      </c>
      <c r="AA26" s="27">
        <f>Parameters!$C$7</f>
        <v>2500</v>
      </c>
      <c r="AB26" s="26">
        <f t="shared" si="16"/>
        <v>1932</v>
      </c>
      <c r="AC26" s="26">
        <f t="shared" si="17"/>
        <v>180</v>
      </c>
      <c r="AD26" s="26">
        <f t="shared" si="18"/>
        <v>388</v>
      </c>
      <c r="AE26" s="26">
        <f t="shared" si="0"/>
        <v>1</v>
      </c>
      <c r="AF26" s="26">
        <f t="shared" si="0"/>
        <v>21</v>
      </c>
      <c r="AG26" s="26">
        <f t="shared" si="19"/>
        <v>368</v>
      </c>
      <c r="AH26" s="28">
        <f t="shared" si="20"/>
        <v>0</v>
      </c>
      <c r="AJ26" s="26">
        <f>IF(AG26&gt;=0,AF26*Parameters!$C$25,MAX(AD26+AE26,0)*Parameters!$C$25)</f>
        <v>1050000</v>
      </c>
      <c r="AK26" s="26">
        <f>IF(AG26&lt;0,-AG26*Parameters!$C$27,0)</f>
        <v>0</v>
      </c>
      <c r="AL26" s="26">
        <f>MAX(AG26,0)*Parameters!$C$26</f>
        <v>5520000</v>
      </c>
      <c r="AM26" s="29">
        <f t="shared" si="1"/>
        <v>6570000</v>
      </c>
    </row>
    <row r="27" spans="2:39" x14ac:dyDescent="0.25">
      <c r="B27" s="3">
        <f t="shared" si="21"/>
        <v>22</v>
      </c>
      <c r="C27" s="3">
        <f>IF(B27&lt;=Parameters!$C$9,1,2)</f>
        <v>2</v>
      </c>
      <c r="D27" s="26">
        <f t="shared" si="22"/>
        <v>1953</v>
      </c>
      <c r="E27" s="26">
        <f>ROUND(D27*IF(C27=1,Parameters!$E$13,Parameters!$E$14),0)</f>
        <v>27</v>
      </c>
      <c r="F27" s="26">
        <f>ROUND((E27+D27)*IF(C27=1,Parameters!$E$17,Parameters!$E$18),0)</f>
        <v>6</v>
      </c>
      <c r="G27" s="26">
        <f t="shared" si="2"/>
        <v>1974</v>
      </c>
      <c r="H27" s="26">
        <f t="shared" si="3"/>
        <v>1953</v>
      </c>
      <c r="I27" s="26">
        <f t="shared" si="4"/>
        <v>1974</v>
      </c>
      <c r="J27" s="26">
        <f t="shared" si="5"/>
        <v>0</v>
      </c>
      <c r="K27" s="26">
        <f t="shared" si="6"/>
        <v>21</v>
      </c>
      <c r="L27" s="12" t="b">
        <f t="shared" si="7"/>
        <v>1</v>
      </c>
      <c r="N27" s="3">
        <f t="shared" si="8"/>
        <v>22</v>
      </c>
      <c r="O27" s="10">
        <f>IF(N27&lt;=Parameters!$C$10,1,0)</f>
        <v>0</v>
      </c>
      <c r="P27" s="3">
        <f t="shared" si="23"/>
        <v>179</v>
      </c>
      <c r="Q27" s="4">
        <f>Parameters!$C$31*O27</f>
        <v>0</v>
      </c>
      <c r="R27" s="4">
        <f>ROUND((Q27+P27)*Parameters!$E$23,0)</f>
        <v>1</v>
      </c>
      <c r="S27" s="3">
        <f t="shared" si="9"/>
        <v>178</v>
      </c>
      <c r="T27" s="3">
        <f t="shared" si="10"/>
        <v>179</v>
      </c>
      <c r="U27" s="3">
        <f t="shared" si="11"/>
        <v>178</v>
      </c>
      <c r="V27" s="19">
        <f t="shared" si="12"/>
        <v>1</v>
      </c>
      <c r="W27" s="19">
        <f t="shared" si="13"/>
        <v>0</v>
      </c>
      <c r="X27" s="12" t="b">
        <f t="shared" si="14"/>
        <v>1</v>
      </c>
      <c r="Z27" s="3">
        <f t="shared" si="15"/>
        <v>22</v>
      </c>
      <c r="AA27" s="27">
        <f>Parameters!$C$7</f>
        <v>2500</v>
      </c>
      <c r="AB27" s="26">
        <f t="shared" si="16"/>
        <v>1953</v>
      </c>
      <c r="AC27" s="26">
        <f t="shared" si="17"/>
        <v>179</v>
      </c>
      <c r="AD27" s="26">
        <f t="shared" si="18"/>
        <v>368</v>
      </c>
      <c r="AE27" s="26">
        <f t="shared" si="0"/>
        <v>1</v>
      </c>
      <c r="AF27" s="26">
        <f t="shared" si="0"/>
        <v>21</v>
      </c>
      <c r="AG27" s="26">
        <f t="shared" si="19"/>
        <v>348</v>
      </c>
      <c r="AH27" s="28">
        <f t="shared" si="20"/>
        <v>0</v>
      </c>
      <c r="AJ27" s="26">
        <f>IF(AG27&gt;=0,AF27*Parameters!$C$25,MAX(AD27+AE27,0)*Parameters!$C$25)</f>
        <v>1050000</v>
      </c>
      <c r="AK27" s="26">
        <f>IF(AG27&lt;0,-AG27*Parameters!$C$27,0)</f>
        <v>0</v>
      </c>
      <c r="AL27" s="26">
        <f>MAX(AG27,0)*Parameters!$C$26</f>
        <v>5220000</v>
      </c>
      <c r="AM27" s="29">
        <f t="shared" si="1"/>
        <v>6270000</v>
      </c>
    </row>
    <row r="28" spans="2:39" x14ac:dyDescent="0.25">
      <c r="B28" s="3">
        <f t="shared" si="21"/>
        <v>23</v>
      </c>
      <c r="C28" s="3">
        <f>IF(B28&lt;=Parameters!$C$9,1,2)</f>
        <v>2</v>
      </c>
      <c r="D28" s="26">
        <f t="shared" si="22"/>
        <v>1974</v>
      </c>
      <c r="E28" s="26">
        <f>ROUND(D28*IF(C28=1,Parameters!$E$13,Parameters!$E$14),0)</f>
        <v>27</v>
      </c>
      <c r="F28" s="26">
        <f>ROUND((E28+D28)*IF(C28=1,Parameters!$E$17,Parameters!$E$18),0)</f>
        <v>7</v>
      </c>
      <c r="G28" s="26">
        <f t="shared" si="2"/>
        <v>1994</v>
      </c>
      <c r="H28" s="26">
        <f t="shared" si="3"/>
        <v>1974</v>
      </c>
      <c r="I28" s="26">
        <f t="shared" si="4"/>
        <v>1994</v>
      </c>
      <c r="J28" s="26">
        <f t="shared" si="5"/>
        <v>0</v>
      </c>
      <c r="K28" s="26">
        <f t="shared" si="6"/>
        <v>20</v>
      </c>
      <c r="L28" s="12" t="b">
        <f t="shared" si="7"/>
        <v>1</v>
      </c>
      <c r="N28" s="3">
        <f t="shared" si="8"/>
        <v>23</v>
      </c>
      <c r="O28" s="10">
        <f>IF(N28&lt;=Parameters!$C$10,1,0)</f>
        <v>0</v>
      </c>
      <c r="P28" s="3">
        <f t="shared" si="23"/>
        <v>178</v>
      </c>
      <c r="Q28" s="4">
        <f>Parameters!$C$31*O28</f>
        <v>0</v>
      </c>
      <c r="R28" s="4">
        <f>ROUND((Q28+P28)*Parameters!$E$23,0)</f>
        <v>1</v>
      </c>
      <c r="S28" s="3">
        <f t="shared" si="9"/>
        <v>177</v>
      </c>
      <c r="T28" s="3">
        <f t="shared" si="10"/>
        <v>178</v>
      </c>
      <c r="U28" s="3">
        <f t="shared" si="11"/>
        <v>177</v>
      </c>
      <c r="V28" s="19">
        <f t="shared" si="12"/>
        <v>1</v>
      </c>
      <c r="W28" s="19">
        <f t="shared" si="13"/>
        <v>0</v>
      </c>
      <c r="X28" s="12" t="b">
        <f t="shared" si="14"/>
        <v>1</v>
      </c>
      <c r="Z28" s="3">
        <f t="shared" si="15"/>
        <v>23</v>
      </c>
      <c r="AA28" s="27">
        <f>Parameters!$C$7</f>
        <v>2500</v>
      </c>
      <c r="AB28" s="26">
        <f t="shared" si="16"/>
        <v>1974</v>
      </c>
      <c r="AC28" s="26">
        <f t="shared" si="17"/>
        <v>178</v>
      </c>
      <c r="AD28" s="26">
        <f t="shared" si="18"/>
        <v>348</v>
      </c>
      <c r="AE28" s="26">
        <f t="shared" si="0"/>
        <v>1</v>
      </c>
      <c r="AF28" s="26">
        <f t="shared" si="0"/>
        <v>20</v>
      </c>
      <c r="AG28" s="26">
        <f t="shared" si="19"/>
        <v>329</v>
      </c>
      <c r="AH28" s="28">
        <f t="shared" si="20"/>
        <v>0</v>
      </c>
      <c r="AJ28" s="26">
        <f>IF(AG28&gt;=0,AF28*Parameters!$C$25,MAX(AD28+AE28,0)*Parameters!$C$25)</f>
        <v>1000000</v>
      </c>
      <c r="AK28" s="26">
        <f>IF(AG28&lt;0,-AG28*Parameters!$C$27,0)</f>
        <v>0</v>
      </c>
      <c r="AL28" s="26">
        <f>MAX(AG28,0)*Parameters!$C$26</f>
        <v>4935000</v>
      </c>
      <c r="AM28" s="29">
        <f t="shared" si="1"/>
        <v>5935000</v>
      </c>
    </row>
    <row r="29" spans="2:39" x14ac:dyDescent="0.25">
      <c r="B29" s="3">
        <f t="shared" si="21"/>
        <v>24</v>
      </c>
      <c r="C29" s="3">
        <f>IF(B29&lt;=Parameters!$C$9,1,2)</f>
        <v>2</v>
      </c>
      <c r="D29" s="26">
        <f t="shared" si="22"/>
        <v>1994</v>
      </c>
      <c r="E29" s="26">
        <f>ROUND(D29*IF(C29=1,Parameters!$E$13,Parameters!$E$14),0)</f>
        <v>28</v>
      </c>
      <c r="F29" s="26">
        <f>ROUND((E29+D29)*IF(C29=1,Parameters!$E$17,Parameters!$E$18),0)</f>
        <v>7</v>
      </c>
      <c r="G29" s="26">
        <f t="shared" si="2"/>
        <v>2015</v>
      </c>
      <c r="H29" s="26">
        <f t="shared" si="3"/>
        <v>1994</v>
      </c>
      <c r="I29" s="26">
        <f t="shared" si="4"/>
        <v>2015</v>
      </c>
      <c r="J29" s="26">
        <f t="shared" si="5"/>
        <v>0</v>
      </c>
      <c r="K29" s="26">
        <f t="shared" si="6"/>
        <v>21</v>
      </c>
      <c r="L29" s="12" t="b">
        <f t="shared" si="7"/>
        <v>1</v>
      </c>
      <c r="N29" s="3">
        <f t="shared" si="8"/>
        <v>24</v>
      </c>
      <c r="O29" s="10">
        <f>IF(N29&lt;=Parameters!$C$10,1,0)</f>
        <v>0</v>
      </c>
      <c r="P29" s="3">
        <f t="shared" si="23"/>
        <v>177</v>
      </c>
      <c r="Q29" s="4">
        <f>Parameters!$C$31*O29</f>
        <v>0</v>
      </c>
      <c r="R29" s="4">
        <f>ROUND((Q29+P29)*Parameters!$E$23,0)</f>
        <v>1</v>
      </c>
      <c r="S29" s="3">
        <f t="shared" si="9"/>
        <v>176</v>
      </c>
      <c r="T29" s="3">
        <f t="shared" si="10"/>
        <v>177</v>
      </c>
      <c r="U29" s="3">
        <f t="shared" si="11"/>
        <v>176</v>
      </c>
      <c r="V29" s="19">
        <f t="shared" si="12"/>
        <v>1</v>
      </c>
      <c r="W29" s="19">
        <f t="shared" si="13"/>
        <v>0</v>
      </c>
      <c r="X29" s="12" t="b">
        <f t="shared" si="14"/>
        <v>1</v>
      </c>
      <c r="Z29" s="3">
        <f t="shared" si="15"/>
        <v>24</v>
      </c>
      <c r="AA29" s="27">
        <f>Parameters!$C$7</f>
        <v>2500</v>
      </c>
      <c r="AB29" s="26">
        <f t="shared" si="16"/>
        <v>1994</v>
      </c>
      <c r="AC29" s="26">
        <f t="shared" si="17"/>
        <v>177</v>
      </c>
      <c r="AD29" s="26">
        <f t="shared" si="18"/>
        <v>329</v>
      </c>
      <c r="AE29" s="26">
        <f t="shared" si="0"/>
        <v>1</v>
      </c>
      <c r="AF29" s="26">
        <f t="shared" si="0"/>
        <v>21</v>
      </c>
      <c r="AG29" s="26">
        <f t="shared" si="19"/>
        <v>309</v>
      </c>
      <c r="AH29" s="28">
        <f t="shared" si="20"/>
        <v>0</v>
      </c>
      <c r="AJ29" s="26">
        <f>IF(AG29&gt;=0,AF29*Parameters!$C$25,MAX(AD29+AE29,0)*Parameters!$C$25)</f>
        <v>1050000</v>
      </c>
      <c r="AK29" s="26">
        <f>IF(AG29&lt;0,-AG29*Parameters!$C$27,0)</f>
        <v>0</v>
      </c>
      <c r="AL29" s="26">
        <f>MAX(AG29,0)*Parameters!$C$26</f>
        <v>4635000</v>
      </c>
      <c r="AM29" s="29">
        <f t="shared" si="1"/>
        <v>5685000</v>
      </c>
    </row>
    <row r="30" spans="2:39" x14ac:dyDescent="0.25">
      <c r="B30" s="3">
        <f>B29+1</f>
        <v>25</v>
      </c>
      <c r="C30" s="3">
        <f>IF(B30&lt;=Parameters!$C$9,1,2)</f>
        <v>2</v>
      </c>
      <c r="D30" s="26">
        <f t="shared" si="22"/>
        <v>2015</v>
      </c>
      <c r="E30" s="26">
        <f>ROUND(D30*IF(C30=1,Parameters!$E$13,Parameters!$E$14),0)</f>
        <v>28</v>
      </c>
      <c r="F30" s="26">
        <f>ROUND((E30+D30)*IF(C30=1,Parameters!$E$17,Parameters!$E$18),0)</f>
        <v>7</v>
      </c>
      <c r="G30" s="26">
        <f t="shared" si="2"/>
        <v>2036</v>
      </c>
      <c r="H30" s="26">
        <f t="shared" si="3"/>
        <v>2015</v>
      </c>
      <c r="I30" s="26">
        <f t="shared" si="4"/>
        <v>2036</v>
      </c>
      <c r="J30" s="26">
        <f t="shared" si="5"/>
        <v>0</v>
      </c>
      <c r="K30" s="26">
        <f t="shared" si="6"/>
        <v>21</v>
      </c>
      <c r="L30" s="12" t="b">
        <f t="shared" si="7"/>
        <v>1</v>
      </c>
      <c r="N30" s="3">
        <f t="shared" si="8"/>
        <v>25</v>
      </c>
      <c r="O30" s="10">
        <f>IF(N30&lt;=Parameters!$C$10,1,0)</f>
        <v>0</v>
      </c>
      <c r="P30" s="3">
        <f t="shared" si="23"/>
        <v>176</v>
      </c>
      <c r="Q30" s="4">
        <f>Parameters!$C$31*O30</f>
        <v>0</v>
      </c>
      <c r="R30" s="4">
        <f>ROUND((Q30+P30)*Parameters!$E$23,0)</f>
        <v>1</v>
      </c>
      <c r="S30" s="3">
        <f t="shared" si="9"/>
        <v>175</v>
      </c>
      <c r="T30" s="3">
        <f t="shared" si="10"/>
        <v>176</v>
      </c>
      <c r="U30" s="3">
        <f t="shared" si="11"/>
        <v>175</v>
      </c>
      <c r="V30" s="19">
        <f t="shared" si="12"/>
        <v>1</v>
      </c>
      <c r="W30" s="19">
        <f t="shared" si="13"/>
        <v>0</v>
      </c>
      <c r="X30" s="12" t="b">
        <f t="shared" si="14"/>
        <v>1</v>
      </c>
      <c r="Z30" s="3">
        <f t="shared" si="15"/>
        <v>25</v>
      </c>
      <c r="AA30" s="27">
        <f>Parameters!$C$7</f>
        <v>2500</v>
      </c>
      <c r="AB30" s="26">
        <f t="shared" si="16"/>
        <v>2015</v>
      </c>
      <c r="AC30" s="26">
        <f t="shared" si="17"/>
        <v>176</v>
      </c>
      <c r="AD30" s="26">
        <f t="shared" si="18"/>
        <v>309</v>
      </c>
      <c r="AE30" s="26">
        <f t="shared" si="0"/>
        <v>1</v>
      </c>
      <c r="AF30" s="26">
        <f t="shared" si="0"/>
        <v>21</v>
      </c>
      <c r="AG30" s="26">
        <f t="shared" si="19"/>
        <v>289</v>
      </c>
      <c r="AH30" s="28">
        <f t="shared" si="20"/>
        <v>0</v>
      </c>
      <c r="AJ30" s="26">
        <f>IF(AG30&gt;=0,AF30*Parameters!$C$25,MAX(AD30+AE30,0)*Parameters!$C$25)</f>
        <v>1050000</v>
      </c>
      <c r="AK30" s="26">
        <f>IF(AG30&lt;0,-AG30*Parameters!$C$27,0)</f>
        <v>0</v>
      </c>
      <c r="AL30" s="26">
        <f>MAX(AG30,0)*Parameters!$C$26</f>
        <v>4335000</v>
      </c>
      <c r="AM30" s="29">
        <f t="shared" si="1"/>
        <v>5385000</v>
      </c>
    </row>
    <row r="31" spans="2:39" x14ac:dyDescent="0.25">
      <c r="B31" s="3">
        <f t="shared" si="21"/>
        <v>26</v>
      </c>
      <c r="C31" s="3">
        <f>IF(B31&lt;=Parameters!$C$9,1,2)</f>
        <v>2</v>
      </c>
      <c r="D31" s="26">
        <f t="shared" si="22"/>
        <v>2036</v>
      </c>
      <c r="E31" s="26">
        <f>ROUND(D31*IF(C31=1,Parameters!$E$13,Parameters!$E$14),0)</f>
        <v>28</v>
      </c>
      <c r="F31" s="26">
        <f>ROUND((E31+D31)*IF(C31=1,Parameters!$E$17,Parameters!$E$18),0)</f>
        <v>7</v>
      </c>
      <c r="G31" s="26">
        <f t="shared" si="2"/>
        <v>2057</v>
      </c>
      <c r="H31" s="26">
        <f t="shared" si="3"/>
        <v>2036</v>
      </c>
      <c r="I31" s="26">
        <f t="shared" si="4"/>
        <v>2057</v>
      </c>
      <c r="J31" s="26">
        <f t="shared" si="5"/>
        <v>0</v>
      </c>
      <c r="K31" s="26">
        <f t="shared" si="6"/>
        <v>21</v>
      </c>
      <c r="L31" s="12" t="b">
        <f t="shared" si="7"/>
        <v>1</v>
      </c>
      <c r="N31" s="3">
        <f t="shared" si="8"/>
        <v>26</v>
      </c>
      <c r="O31" s="10">
        <f>IF(N31&lt;=Parameters!$C$10,1,0)</f>
        <v>0</v>
      </c>
      <c r="P31" s="3">
        <f t="shared" si="23"/>
        <v>175</v>
      </c>
      <c r="Q31" s="4">
        <f>Parameters!$C$31*O31</f>
        <v>0</v>
      </c>
      <c r="R31" s="4">
        <f>ROUND((Q31+P31)*Parameters!$E$23,0)</f>
        <v>1</v>
      </c>
      <c r="S31" s="3">
        <f t="shared" si="9"/>
        <v>174</v>
      </c>
      <c r="T31" s="3">
        <f t="shared" si="10"/>
        <v>175</v>
      </c>
      <c r="U31" s="3">
        <f t="shared" si="11"/>
        <v>174</v>
      </c>
      <c r="V31" s="19">
        <f t="shared" si="12"/>
        <v>1</v>
      </c>
      <c r="W31" s="19">
        <f t="shared" si="13"/>
        <v>0</v>
      </c>
      <c r="X31" s="12" t="b">
        <f t="shared" si="14"/>
        <v>1</v>
      </c>
      <c r="Z31" s="3">
        <f t="shared" si="15"/>
        <v>26</v>
      </c>
      <c r="AA31" s="27">
        <f>Parameters!$C$7</f>
        <v>2500</v>
      </c>
      <c r="AB31" s="26">
        <f t="shared" si="16"/>
        <v>2036</v>
      </c>
      <c r="AC31" s="26">
        <f t="shared" si="17"/>
        <v>175</v>
      </c>
      <c r="AD31" s="26">
        <f t="shared" si="18"/>
        <v>289</v>
      </c>
      <c r="AE31" s="26">
        <f t="shared" si="0"/>
        <v>1</v>
      </c>
      <c r="AF31" s="26">
        <f t="shared" si="0"/>
        <v>21</v>
      </c>
      <c r="AG31" s="26">
        <f t="shared" si="19"/>
        <v>269</v>
      </c>
      <c r="AH31" s="28">
        <f t="shared" si="20"/>
        <v>0</v>
      </c>
      <c r="AJ31" s="26">
        <f>IF(AG31&gt;=0,AF31*Parameters!$C$25,MAX(AD31+AE31,0)*Parameters!$C$25)</f>
        <v>1050000</v>
      </c>
      <c r="AK31" s="26">
        <f>IF(AG31&lt;0,-AG31*Parameters!$C$27,0)</f>
        <v>0</v>
      </c>
      <c r="AL31" s="26">
        <f>MAX(AG31,0)*Parameters!$C$26</f>
        <v>4035000</v>
      </c>
      <c r="AM31" s="29">
        <f t="shared" si="1"/>
        <v>5085000</v>
      </c>
    </row>
    <row r="32" spans="2:39" x14ac:dyDescent="0.25">
      <c r="B32" s="3">
        <f t="shared" si="21"/>
        <v>27</v>
      </c>
      <c r="C32" s="3">
        <f>IF(B32&lt;=Parameters!$C$9,1,2)</f>
        <v>2</v>
      </c>
      <c r="D32" s="26">
        <f t="shared" si="22"/>
        <v>2057</v>
      </c>
      <c r="E32" s="26">
        <f>ROUND(D32*IF(C32=1,Parameters!$E$13,Parameters!$E$14),0)</f>
        <v>29</v>
      </c>
      <c r="F32" s="26">
        <f>ROUND((E32+D32)*IF(C32=1,Parameters!$E$17,Parameters!$E$18),0)</f>
        <v>7</v>
      </c>
      <c r="G32" s="26">
        <f t="shared" si="2"/>
        <v>2079</v>
      </c>
      <c r="H32" s="26">
        <f t="shared" si="3"/>
        <v>2057</v>
      </c>
      <c r="I32" s="26">
        <f t="shared" si="4"/>
        <v>2079</v>
      </c>
      <c r="J32" s="26">
        <f t="shared" si="5"/>
        <v>0</v>
      </c>
      <c r="K32" s="26">
        <f t="shared" si="6"/>
        <v>22</v>
      </c>
      <c r="L32" s="12" t="b">
        <f t="shared" si="7"/>
        <v>1</v>
      </c>
      <c r="N32" s="3">
        <f t="shared" si="8"/>
        <v>27</v>
      </c>
      <c r="O32" s="10">
        <f>IF(N32&lt;=Parameters!$C$10,1,0)</f>
        <v>0</v>
      </c>
      <c r="P32" s="3">
        <f t="shared" si="23"/>
        <v>174</v>
      </c>
      <c r="Q32" s="4">
        <f>Parameters!$C$31*O32</f>
        <v>0</v>
      </c>
      <c r="R32" s="4">
        <f>ROUND((Q32+P32)*Parameters!$E$23,0)</f>
        <v>1</v>
      </c>
      <c r="S32" s="3">
        <f t="shared" si="9"/>
        <v>173</v>
      </c>
      <c r="T32" s="3">
        <f t="shared" si="10"/>
        <v>174</v>
      </c>
      <c r="U32" s="3">
        <f t="shared" si="11"/>
        <v>173</v>
      </c>
      <c r="V32" s="19">
        <f t="shared" si="12"/>
        <v>1</v>
      </c>
      <c r="W32" s="19">
        <f t="shared" si="13"/>
        <v>0</v>
      </c>
      <c r="X32" s="12" t="b">
        <f t="shared" si="14"/>
        <v>1</v>
      </c>
      <c r="Z32" s="3">
        <f t="shared" si="15"/>
        <v>27</v>
      </c>
      <c r="AA32" s="27">
        <f>Parameters!$C$7</f>
        <v>2500</v>
      </c>
      <c r="AB32" s="26">
        <f t="shared" si="16"/>
        <v>2057</v>
      </c>
      <c r="AC32" s="26">
        <f t="shared" si="17"/>
        <v>174</v>
      </c>
      <c r="AD32" s="26">
        <f t="shared" si="18"/>
        <v>269</v>
      </c>
      <c r="AE32" s="26">
        <f t="shared" si="0"/>
        <v>1</v>
      </c>
      <c r="AF32" s="26">
        <f t="shared" si="0"/>
        <v>22</v>
      </c>
      <c r="AG32" s="26">
        <f t="shared" si="19"/>
        <v>248</v>
      </c>
      <c r="AH32" s="28">
        <f t="shared" si="20"/>
        <v>0</v>
      </c>
      <c r="AJ32" s="26">
        <f>IF(AG32&gt;=0,AF32*Parameters!$C$25,MAX(AD32+AE32,0)*Parameters!$C$25)</f>
        <v>1100000</v>
      </c>
      <c r="AK32" s="26">
        <f>IF(AG32&lt;0,-AG32*Parameters!$C$27,0)</f>
        <v>0</v>
      </c>
      <c r="AL32" s="26">
        <f>MAX(AG32,0)*Parameters!$C$26</f>
        <v>3720000</v>
      </c>
      <c r="AM32" s="29">
        <f t="shared" si="1"/>
        <v>4820000</v>
      </c>
    </row>
    <row r="33" spans="2:39" x14ac:dyDescent="0.25">
      <c r="B33" s="3">
        <f t="shared" si="21"/>
        <v>28</v>
      </c>
      <c r="C33" s="3">
        <f>IF(B33&lt;=Parameters!$C$9,1,2)</f>
        <v>2</v>
      </c>
      <c r="D33" s="26">
        <f t="shared" si="22"/>
        <v>2079</v>
      </c>
      <c r="E33" s="26">
        <f>ROUND(D33*IF(C33=1,Parameters!$E$13,Parameters!$E$14),0)</f>
        <v>29</v>
      </c>
      <c r="F33" s="26">
        <f>ROUND((E33+D33)*IF(C33=1,Parameters!$E$17,Parameters!$E$18),0)</f>
        <v>7</v>
      </c>
      <c r="G33" s="26">
        <f t="shared" si="2"/>
        <v>2101</v>
      </c>
      <c r="H33" s="26">
        <f t="shared" si="3"/>
        <v>2079</v>
      </c>
      <c r="I33" s="26">
        <f t="shared" si="4"/>
        <v>2101</v>
      </c>
      <c r="J33" s="26">
        <f t="shared" si="5"/>
        <v>0</v>
      </c>
      <c r="K33" s="26">
        <f t="shared" si="6"/>
        <v>22</v>
      </c>
      <c r="L33" s="12" t="b">
        <f t="shared" si="7"/>
        <v>1</v>
      </c>
      <c r="N33" s="3">
        <f t="shared" si="8"/>
        <v>28</v>
      </c>
      <c r="O33" s="10">
        <f>IF(N33&lt;=Parameters!$C$10,1,0)</f>
        <v>0</v>
      </c>
      <c r="P33" s="3">
        <f t="shared" si="23"/>
        <v>173</v>
      </c>
      <c r="Q33" s="4">
        <f>Parameters!$C$31*O33</f>
        <v>0</v>
      </c>
      <c r="R33" s="4">
        <f>ROUND((Q33+P33)*Parameters!$E$23,0)</f>
        <v>1</v>
      </c>
      <c r="S33" s="3">
        <f t="shared" si="9"/>
        <v>172</v>
      </c>
      <c r="T33" s="3">
        <f t="shared" si="10"/>
        <v>173</v>
      </c>
      <c r="U33" s="3">
        <f t="shared" si="11"/>
        <v>172</v>
      </c>
      <c r="V33" s="19">
        <f t="shared" si="12"/>
        <v>1</v>
      </c>
      <c r="W33" s="19">
        <f t="shared" si="13"/>
        <v>0</v>
      </c>
      <c r="X33" s="12" t="b">
        <f t="shared" si="14"/>
        <v>1</v>
      </c>
      <c r="Z33" s="3">
        <f t="shared" si="15"/>
        <v>28</v>
      </c>
      <c r="AA33" s="27">
        <f>Parameters!$C$7</f>
        <v>2500</v>
      </c>
      <c r="AB33" s="26">
        <f t="shared" si="16"/>
        <v>2079</v>
      </c>
      <c r="AC33" s="26">
        <f t="shared" si="17"/>
        <v>173</v>
      </c>
      <c r="AD33" s="26">
        <f t="shared" si="18"/>
        <v>248</v>
      </c>
      <c r="AE33" s="26">
        <f t="shared" si="0"/>
        <v>1</v>
      </c>
      <c r="AF33" s="26">
        <f t="shared" si="0"/>
        <v>22</v>
      </c>
      <c r="AG33" s="26">
        <f t="shared" si="19"/>
        <v>227</v>
      </c>
      <c r="AH33" s="28">
        <f t="shared" si="20"/>
        <v>0</v>
      </c>
      <c r="AJ33" s="26">
        <f>IF(AG33&gt;=0,AF33*Parameters!$C$25,MAX(AD33+AE33,0)*Parameters!$C$25)</f>
        <v>1100000</v>
      </c>
      <c r="AK33" s="26">
        <f>IF(AG33&lt;0,-AG33*Parameters!$C$27,0)</f>
        <v>0</v>
      </c>
      <c r="AL33" s="26">
        <f>MAX(AG33,0)*Parameters!$C$26</f>
        <v>3405000</v>
      </c>
      <c r="AM33" s="29">
        <f t="shared" si="1"/>
        <v>4505000</v>
      </c>
    </row>
    <row r="34" spans="2:39" x14ac:dyDescent="0.25">
      <c r="B34" s="3">
        <f t="shared" si="21"/>
        <v>29</v>
      </c>
      <c r="C34" s="3">
        <f>IF(B34&lt;=Parameters!$C$9,1,2)</f>
        <v>2</v>
      </c>
      <c r="D34" s="26">
        <f t="shared" si="22"/>
        <v>2101</v>
      </c>
      <c r="E34" s="26">
        <f>ROUND(D34*IF(C34=1,Parameters!$E$13,Parameters!$E$14),0)</f>
        <v>29</v>
      </c>
      <c r="F34" s="26">
        <f>ROUND((E34+D34)*IF(C34=1,Parameters!$E$17,Parameters!$E$18),0)</f>
        <v>7</v>
      </c>
      <c r="G34" s="26">
        <f t="shared" si="2"/>
        <v>2123</v>
      </c>
      <c r="H34" s="26">
        <f t="shared" si="3"/>
        <v>2101</v>
      </c>
      <c r="I34" s="26">
        <f t="shared" si="4"/>
        <v>2123</v>
      </c>
      <c r="J34" s="26">
        <f t="shared" si="5"/>
        <v>0</v>
      </c>
      <c r="K34" s="26">
        <f t="shared" si="6"/>
        <v>22</v>
      </c>
      <c r="L34" s="12" t="b">
        <f t="shared" si="7"/>
        <v>1</v>
      </c>
      <c r="N34" s="3">
        <f t="shared" si="8"/>
        <v>29</v>
      </c>
      <c r="O34" s="10">
        <f>IF(N34&lt;=Parameters!$C$10,1,0)</f>
        <v>0</v>
      </c>
      <c r="P34" s="3">
        <f t="shared" si="23"/>
        <v>172</v>
      </c>
      <c r="Q34" s="4">
        <f>Parameters!$C$31*O34</f>
        <v>0</v>
      </c>
      <c r="R34" s="4">
        <f>ROUND((Q34+P34)*Parameters!$E$23,0)</f>
        <v>1</v>
      </c>
      <c r="S34" s="3">
        <f t="shared" si="9"/>
        <v>171</v>
      </c>
      <c r="T34" s="3">
        <f t="shared" si="10"/>
        <v>172</v>
      </c>
      <c r="U34" s="3">
        <f t="shared" si="11"/>
        <v>171</v>
      </c>
      <c r="V34" s="19">
        <f t="shared" si="12"/>
        <v>1</v>
      </c>
      <c r="W34" s="19">
        <f t="shared" si="13"/>
        <v>0</v>
      </c>
      <c r="X34" s="12" t="b">
        <f t="shared" si="14"/>
        <v>1</v>
      </c>
      <c r="Z34" s="3">
        <f t="shared" si="15"/>
        <v>29</v>
      </c>
      <c r="AA34" s="27">
        <f>Parameters!$C$7</f>
        <v>2500</v>
      </c>
      <c r="AB34" s="26">
        <f t="shared" si="16"/>
        <v>2101</v>
      </c>
      <c r="AC34" s="26">
        <f t="shared" si="17"/>
        <v>172</v>
      </c>
      <c r="AD34" s="26">
        <f t="shared" si="18"/>
        <v>227</v>
      </c>
      <c r="AE34" s="26">
        <f t="shared" si="0"/>
        <v>1</v>
      </c>
      <c r="AF34" s="26">
        <f t="shared" si="0"/>
        <v>22</v>
      </c>
      <c r="AG34" s="26">
        <f t="shared" si="19"/>
        <v>206</v>
      </c>
      <c r="AH34" s="28">
        <f t="shared" si="20"/>
        <v>0</v>
      </c>
      <c r="AJ34" s="26">
        <f>IF(AG34&gt;=0,AF34*Parameters!$C$25,MAX(AD34+AE34,0)*Parameters!$C$25)</f>
        <v>1100000</v>
      </c>
      <c r="AK34" s="26">
        <f>IF(AG34&lt;0,-AG34*Parameters!$C$27,0)</f>
        <v>0</v>
      </c>
      <c r="AL34" s="26">
        <f>MAX(AG34,0)*Parameters!$C$26</f>
        <v>3090000</v>
      </c>
      <c r="AM34" s="29">
        <f t="shared" si="1"/>
        <v>4190000</v>
      </c>
    </row>
    <row r="35" spans="2:39" x14ac:dyDescent="0.25">
      <c r="B35" s="3">
        <f t="shared" si="21"/>
        <v>30</v>
      </c>
      <c r="C35" s="3">
        <f>IF(B35&lt;=Parameters!$C$9,1,2)</f>
        <v>2</v>
      </c>
      <c r="D35" s="26">
        <f t="shared" si="22"/>
        <v>2123</v>
      </c>
      <c r="E35" s="26">
        <f>ROUND(D35*IF(C35=1,Parameters!$E$13,Parameters!$E$14),0)</f>
        <v>29</v>
      </c>
      <c r="F35" s="26">
        <f>ROUND((E35+D35)*IF(C35=1,Parameters!$E$17,Parameters!$E$18),0)</f>
        <v>7</v>
      </c>
      <c r="G35" s="26">
        <f t="shared" si="2"/>
        <v>2145</v>
      </c>
      <c r="H35" s="26">
        <f t="shared" si="3"/>
        <v>2123</v>
      </c>
      <c r="I35" s="26">
        <f t="shared" si="4"/>
        <v>2145</v>
      </c>
      <c r="J35" s="26">
        <f t="shared" si="5"/>
        <v>0</v>
      </c>
      <c r="K35" s="26">
        <f t="shared" si="6"/>
        <v>22</v>
      </c>
      <c r="L35" s="12" t="b">
        <f t="shared" si="7"/>
        <v>1</v>
      </c>
      <c r="N35" s="3">
        <f t="shared" si="8"/>
        <v>30</v>
      </c>
      <c r="O35" s="10">
        <f>IF(N35&lt;=Parameters!$C$10,1,0)</f>
        <v>0</v>
      </c>
      <c r="P35" s="3">
        <f t="shared" si="23"/>
        <v>171</v>
      </c>
      <c r="Q35" s="4">
        <f>Parameters!$C$31*O35</f>
        <v>0</v>
      </c>
      <c r="R35" s="4">
        <f>ROUND((Q35+P35)*Parameters!$E$23,0)</f>
        <v>1</v>
      </c>
      <c r="S35" s="3">
        <f t="shared" si="9"/>
        <v>170</v>
      </c>
      <c r="T35" s="3">
        <f t="shared" si="10"/>
        <v>171</v>
      </c>
      <c r="U35" s="3">
        <f t="shared" si="11"/>
        <v>170</v>
      </c>
      <c r="V35" s="19">
        <f t="shared" si="12"/>
        <v>1</v>
      </c>
      <c r="W35" s="19">
        <f t="shared" si="13"/>
        <v>0</v>
      </c>
      <c r="X35" s="12" t="b">
        <f t="shared" si="14"/>
        <v>1</v>
      </c>
      <c r="Z35" s="3">
        <f t="shared" si="15"/>
        <v>30</v>
      </c>
      <c r="AA35" s="27">
        <f>Parameters!$C$7</f>
        <v>2500</v>
      </c>
      <c r="AB35" s="26">
        <f t="shared" si="16"/>
        <v>2123</v>
      </c>
      <c r="AC35" s="26">
        <f t="shared" si="17"/>
        <v>171</v>
      </c>
      <c r="AD35" s="26">
        <f t="shared" si="18"/>
        <v>206</v>
      </c>
      <c r="AE35" s="26">
        <f t="shared" si="0"/>
        <v>1</v>
      </c>
      <c r="AF35" s="26">
        <f t="shared" si="0"/>
        <v>22</v>
      </c>
      <c r="AG35" s="26">
        <f t="shared" si="19"/>
        <v>185</v>
      </c>
      <c r="AH35" s="28">
        <f t="shared" si="20"/>
        <v>0</v>
      </c>
      <c r="AJ35" s="26">
        <f>IF(AG35&gt;=0,AF35*Parameters!$C$25,MAX(AD35+AE35,0)*Parameters!$C$25)</f>
        <v>1100000</v>
      </c>
      <c r="AK35" s="26">
        <f>IF(AG35&lt;0,-AG35*Parameters!$C$27,0)</f>
        <v>0</v>
      </c>
      <c r="AL35" s="26">
        <f>MAX(AG35,0)*Parameters!$C$26</f>
        <v>2775000</v>
      </c>
      <c r="AM35" s="29">
        <f t="shared" si="1"/>
        <v>3875000</v>
      </c>
    </row>
    <row r="36" spans="2:39" x14ac:dyDescent="0.25">
      <c r="B36" s="3">
        <f t="shared" si="21"/>
        <v>31</v>
      </c>
      <c r="C36" s="3">
        <f>IF(B36&lt;=Parameters!$C$9,1,2)</f>
        <v>2</v>
      </c>
      <c r="D36" s="26">
        <f t="shared" si="22"/>
        <v>2145</v>
      </c>
      <c r="E36" s="26">
        <f>ROUND(D36*IF(C36=1,Parameters!$E$13,Parameters!$E$14),0)</f>
        <v>30</v>
      </c>
      <c r="F36" s="26">
        <f>ROUND((E36+D36)*IF(C36=1,Parameters!$E$17,Parameters!$E$18),0)</f>
        <v>7</v>
      </c>
      <c r="G36" s="26">
        <f t="shared" si="2"/>
        <v>2168</v>
      </c>
      <c r="H36" s="26">
        <f t="shared" si="3"/>
        <v>2145</v>
      </c>
      <c r="I36" s="26">
        <f t="shared" si="4"/>
        <v>2168</v>
      </c>
      <c r="J36" s="26">
        <f t="shared" si="5"/>
        <v>0</v>
      </c>
      <c r="K36" s="26">
        <f t="shared" si="6"/>
        <v>23</v>
      </c>
      <c r="L36" s="12" t="b">
        <f t="shared" si="7"/>
        <v>1</v>
      </c>
      <c r="N36" s="3">
        <f t="shared" si="8"/>
        <v>31</v>
      </c>
      <c r="O36" s="10">
        <f>IF(N36&lt;=Parameters!$C$10,1,0)</f>
        <v>0</v>
      </c>
      <c r="P36" s="3">
        <f t="shared" si="23"/>
        <v>170</v>
      </c>
      <c r="Q36" s="4">
        <f>Parameters!$C$31*O36</f>
        <v>0</v>
      </c>
      <c r="R36" s="4">
        <f>ROUND((Q36+P36)*Parameters!$E$23,0)</f>
        <v>1</v>
      </c>
      <c r="S36" s="3">
        <f t="shared" si="9"/>
        <v>169</v>
      </c>
      <c r="T36" s="3">
        <f t="shared" si="10"/>
        <v>170</v>
      </c>
      <c r="U36" s="3">
        <f t="shared" si="11"/>
        <v>169</v>
      </c>
      <c r="V36" s="19">
        <f t="shared" si="12"/>
        <v>1</v>
      </c>
      <c r="W36" s="19">
        <f t="shared" si="13"/>
        <v>0</v>
      </c>
      <c r="X36" s="12" t="b">
        <f t="shared" si="14"/>
        <v>1</v>
      </c>
      <c r="Z36" s="3">
        <f t="shared" si="15"/>
        <v>31</v>
      </c>
      <c r="AA36" s="27">
        <f>Parameters!$C$7</f>
        <v>2500</v>
      </c>
      <c r="AB36" s="26">
        <f t="shared" si="16"/>
        <v>2145</v>
      </c>
      <c r="AC36" s="26">
        <f t="shared" si="17"/>
        <v>170</v>
      </c>
      <c r="AD36" s="26">
        <f t="shared" si="18"/>
        <v>185</v>
      </c>
      <c r="AE36" s="26">
        <f t="shared" si="0"/>
        <v>1</v>
      </c>
      <c r="AF36" s="26">
        <f t="shared" si="0"/>
        <v>23</v>
      </c>
      <c r="AG36" s="26">
        <f t="shared" si="19"/>
        <v>163</v>
      </c>
      <c r="AH36" s="28">
        <f t="shared" si="20"/>
        <v>0</v>
      </c>
      <c r="AJ36" s="26">
        <f>IF(AG36&gt;=0,AF36*Parameters!$C$25,MAX(AD36+AE36,0)*Parameters!$C$25)</f>
        <v>1150000</v>
      </c>
      <c r="AK36" s="26">
        <f>IF(AG36&lt;0,-AG36*Parameters!$C$27,0)</f>
        <v>0</v>
      </c>
      <c r="AL36" s="26">
        <f>MAX(AG36,0)*Parameters!$C$26</f>
        <v>2445000</v>
      </c>
      <c r="AM36" s="29">
        <f t="shared" si="1"/>
        <v>3595000</v>
      </c>
    </row>
    <row r="37" spans="2:39" x14ac:dyDescent="0.25">
      <c r="B37" s="3">
        <f t="shared" si="21"/>
        <v>32</v>
      </c>
      <c r="C37" s="3">
        <f>IF(B37&lt;=Parameters!$C$9,1,2)</f>
        <v>2</v>
      </c>
      <c r="D37" s="26">
        <f t="shared" si="22"/>
        <v>2168</v>
      </c>
      <c r="E37" s="26">
        <f>ROUND(D37*IF(C37=1,Parameters!$E$13,Parameters!$E$14),0)</f>
        <v>30</v>
      </c>
      <c r="F37" s="26">
        <f>ROUND((E37+D37)*IF(C37=1,Parameters!$E$17,Parameters!$E$18),0)</f>
        <v>7</v>
      </c>
      <c r="G37" s="26">
        <f t="shared" si="2"/>
        <v>2191</v>
      </c>
      <c r="H37" s="26">
        <f t="shared" si="3"/>
        <v>2168</v>
      </c>
      <c r="I37" s="26">
        <f t="shared" si="4"/>
        <v>2191</v>
      </c>
      <c r="J37" s="26">
        <f t="shared" si="5"/>
        <v>0</v>
      </c>
      <c r="K37" s="26">
        <f t="shared" si="6"/>
        <v>23</v>
      </c>
      <c r="L37" s="12" t="b">
        <f t="shared" si="7"/>
        <v>1</v>
      </c>
      <c r="N37" s="3">
        <f t="shared" si="8"/>
        <v>32</v>
      </c>
      <c r="O37" s="10">
        <f>IF(N37&lt;=Parameters!$C$10,1,0)</f>
        <v>0</v>
      </c>
      <c r="P37" s="3">
        <f t="shared" si="23"/>
        <v>169</v>
      </c>
      <c r="Q37" s="4">
        <f>Parameters!$C$31*O37</f>
        <v>0</v>
      </c>
      <c r="R37" s="4">
        <f>ROUND((Q37+P37)*Parameters!$E$23,0)</f>
        <v>1</v>
      </c>
      <c r="S37" s="3">
        <f t="shared" si="9"/>
        <v>168</v>
      </c>
      <c r="T37" s="3">
        <f t="shared" si="10"/>
        <v>169</v>
      </c>
      <c r="U37" s="3">
        <f t="shared" si="11"/>
        <v>168</v>
      </c>
      <c r="V37" s="19">
        <f t="shared" si="12"/>
        <v>1</v>
      </c>
      <c r="W37" s="19">
        <f t="shared" si="13"/>
        <v>0</v>
      </c>
      <c r="X37" s="12" t="b">
        <f t="shared" si="14"/>
        <v>1</v>
      </c>
      <c r="Z37" s="3">
        <f t="shared" si="15"/>
        <v>32</v>
      </c>
      <c r="AA37" s="27">
        <f>Parameters!$C$7</f>
        <v>2500</v>
      </c>
      <c r="AB37" s="26">
        <f t="shared" si="16"/>
        <v>2168</v>
      </c>
      <c r="AC37" s="26">
        <f t="shared" si="17"/>
        <v>169</v>
      </c>
      <c r="AD37" s="26">
        <f t="shared" si="18"/>
        <v>163</v>
      </c>
      <c r="AE37" s="26">
        <f t="shared" si="0"/>
        <v>1</v>
      </c>
      <c r="AF37" s="26">
        <f t="shared" si="0"/>
        <v>23</v>
      </c>
      <c r="AG37" s="26">
        <f t="shared" si="19"/>
        <v>141</v>
      </c>
      <c r="AH37" s="28">
        <f t="shared" si="20"/>
        <v>0</v>
      </c>
      <c r="AJ37" s="26">
        <f>IF(AG37&gt;=0,AF37*Parameters!$C$25,MAX(AD37+AE37,0)*Parameters!$C$25)</f>
        <v>1150000</v>
      </c>
      <c r="AK37" s="26">
        <f>IF(AG37&lt;0,-AG37*Parameters!$C$27,0)</f>
        <v>0</v>
      </c>
      <c r="AL37" s="26">
        <f>MAX(AG37,0)*Parameters!$C$26</f>
        <v>2115000</v>
      </c>
      <c r="AM37" s="29">
        <f t="shared" si="1"/>
        <v>3265000</v>
      </c>
    </row>
    <row r="38" spans="2:39" x14ac:dyDescent="0.25">
      <c r="B38" s="3">
        <f t="shared" si="21"/>
        <v>33</v>
      </c>
      <c r="C38" s="3">
        <f>IF(B38&lt;=Parameters!$C$9,1,2)</f>
        <v>2</v>
      </c>
      <c r="D38" s="26">
        <f t="shared" si="22"/>
        <v>2191</v>
      </c>
      <c r="E38" s="26">
        <f>ROUND(D38*IF(C38=1,Parameters!$E$13,Parameters!$E$14),0)</f>
        <v>30</v>
      </c>
      <c r="F38" s="26">
        <f>ROUND((E38+D38)*IF(C38=1,Parameters!$E$17,Parameters!$E$18),0)</f>
        <v>7</v>
      </c>
      <c r="G38" s="26">
        <f t="shared" si="2"/>
        <v>2214</v>
      </c>
      <c r="H38" s="26">
        <f t="shared" si="3"/>
        <v>2191</v>
      </c>
      <c r="I38" s="26">
        <f t="shared" si="4"/>
        <v>2214</v>
      </c>
      <c r="J38" s="26">
        <f t="shared" si="5"/>
        <v>0</v>
      </c>
      <c r="K38" s="26">
        <f t="shared" si="6"/>
        <v>23</v>
      </c>
      <c r="L38" s="12" t="b">
        <f t="shared" si="7"/>
        <v>1</v>
      </c>
      <c r="N38" s="3">
        <f t="shared" si="8"/>
        <v>33</v>
      </c>
      <c r="O38" s="10">
        <f>IF(N38&lt;=Parameters!$C$10,1,0)</f>
        <v>0</v>
      </c>
      <c r="P38" s="3">
        <f t="shared" si="23"/>
        <v>168</v>
      </c>
      <c r="Q38" s="4">
        <f>Parameters!$C$31*O38</f>
        <v>0</v>
      </c>
      <c r="R38" s="4">
        <f>ROUND((Q38+P38)*Parameters!$E$23,0)</f>
        <v>1</v>
      </c>
      <c r="S38" s="3">
        <f t="shared" si="9"/>
        <v>167</v>
      </c>
      <c r="T38" s="3">
        <f t="shared" si="10"/>
        <v>168</v>
      </c>
      <c r="U38" s="3">
        <f t="shared" si="11"/>
        <v>167</v>
      </c>
      <c r="V38" s="19">
        <f t="shared" si="12"/>
        <v>1</v>
      </c>
      <c r="W38" s="19">
        <f t="shared" si="13"/>
        <v>0</v>
      </c>
      <c r="X38" s="12" t="b">
        <f t="shared" si="14"/>
        <v>1</v>
      </c>
      <c r="Z38" s="3">
        <f t="shared" si="15"/>
        <v>33</v>
      </c>
      <c r="AA38" s="27">
        <f>Parameters!$C$7</f>
        <v>2500</v>
      </c>
      <c r="AB38" s="26">
        <f t="shared" si="16"/>
        <v>2191</v>
      </c>
      <c r="AC38" s="26">
        <f t="shared" si="17"/>
        <v>168</v>
      </c>
      <c r="AD38" s="26">
        <f t="shared" si="18"/>
        <v>141</v>
      </c>
      <c r="AE38" s="26">
        <f t="shared" si="0"/>
        <v>1</v>
      </c>
      <c r="AF38" s="26">
        <f t="shared" si="0"/>
        <v>23</v>
      </c>
      <c r="AG38" s="26">
        <f t="shared" si="19"/>
        <v>119</v>
      </c>
      <c r="AH38" s="28">
        <f t="shared" si="20"/>
        <v>0</v>
      </c>
      <c r="AJ38" s="26">
        <f>IF(AG38&gt;=0,AF38*Parameters!$C$25,MAX(AD38+AE38,0)*Parameters!$C$25)</f>
        <v>1150000</v>
      </c>
      <c r="AK38" s="26">
        <f>IF(AG38&lt;0,-AG38*Parameters!$C$27,0)</f>
        <v>0</v>
      </c>
      <c r="AL38" s="26">
        <f>MAX(AG38,0)*Parameters!$C$26</f>
        <v>1785000</v>
      </c>
      <c r="AM38" s="29">
        <f t="shared" si="1"/>
        <v>2935000</v>
      </c>
    </row>
    <row r="39" spans="2:39" x14ac:dyDescent="0.25">
      <c r="B39" s="3">
        <f t="shared" si="21"/>
        <v>34</v>
      </c>
      <c r="C39" s="3">
        <f>IF(B39&lt;=Parameters!$C$9,1,2)</f>
        <v>2</v>
      </c>
      <c r="D39" s="26">
        <f t="shared" si="22"/>
        <v>2214</v>
      </c>
      <c r="E39" s="26">
        <f>ROUND(D39*IF(C39=1,Parameters!$E$13,Parameters!$E$14),0)</f>
        <v>31</v>
      </c>
      <c r="F39" s="26">
        <f>ROUND((E39+D39)*IF(C39=1,Parameters!$E$17,Parameters!$E$18),0)</f>
        <v>7</v>
      </c>
      <c r="G39" s="26">
        <f t="shared" si="2"/>
        <v>2238</v>
      </c>
      <c r="H39" s="26">
        <f t="shared" si="3"/>
        <v>2214</v>
      </c>
      <c r="I39" s="26">
        <f t="shared" si="4"/>
        <v>2238</v>
      </c>
      <c r="J39" s="26">
        <f t="shared" si="5"/>
        <v>0</v>
      </c>
      <c r="K39" s="26">
        <f t="shared" si="6"/>
        <v>24</v>
      </c>
      <c r="L39" s="12" t="b">
        <f t="shared" si="7"/>
        <v>1</v>
      </c>
      <c r="N39" s="3">
        <f t="shared" si="8"/>
        <v>34</v>
      </c>
      <c r="O39" s="10">
        <f>IF(N39&lt;=Parameters!$C$10,1,0)</f>
        <v>0</v>
      </c>
      <c r="P39" s="3">
        <f t="shared" si="23"/>
        <v>167</v>
      </c>
      <c r="Q39" s="4">
        <f>Parameters!$C$31*O39</f>
        <v>0</v>
      </c>
      <c r="R39" s="4">
        <f>ROUND((Q39+P39)*Parameters!$E$23,0)</f>
        <v>1</v>
      </c>
      <c r="S39" s="3">
        <f t="shared" si="9"/>
        <v>166</v>
      </c>
      <c r="T39" s="3">
        <f t="shared" si="10"/>
        <v>167</v>
      </c>
      <c r="U39" s="3">
        <f t="shared" si="11"/>
        <v>166</v>
      </c>
      <c r="V39" s="19">
        <f t="shared" si="12"/>
        <v>1</v>
      </c>
      <c r="W39" s="19">
        <f t="shared" si="13"/>
        <v>0</v>
      </c>
      <c r="X39" s="12" t="b">
        <f t="shared" si="14"/>
        <v>1</v>
      </c>
      <c r="Z39" s="3">
        <f t="shared" si="15"/>
        <v>34</v>
      </c>
      <c r="AA39" s="27">
        <f>Parameters!$C$7</f>
        <v>2500</v>
      </c>
      <c r="AB39" s="26">
        <f t="shared" si="16"/>
        <v>2214</v>
      </c>
      <c r="AC39" s="26">
        <f t="shared" si="17"/>
        <v>167</v>
      </c>
      <c r="AD39" s="26">
        <f t="shared" si="18"/>
        <v>119</v>
      </c>
      <c r="AE39" s="26">
        <f t="shared" si="0"/>
        <v>1</v>
      </c>
      <c r="AF39" s="26">
        <f t="shared" si="0"/>
        <v>24</v>
      </c>
      <c r="AG39" s="26">
        <f t="shared" si="19"/>
        <v>96</v>
      </c>
      <c r="AH39" s="28">
        <f t="shared" si="20"/>
        <v>0</v>
      </c>
      <c r="AJ39" s="26">
        <f>IF(AG39&gt;=0,AF39*Parameters!$C$25,MAX(AD39+AE39,0)*Parameters!$C$25)</f>
        <v>1200000</v>
      </c>
      <c r="AK39" s="26">
        <f>IF(AG39&lt;0,-AG39*Parameters!$C$27,0)</f>
        <v>0</v>
      </c>
      <c r="AL39" s="26">
        <f>MAX(AG39,0)*Parameters!$C$26</f>
        <v>1440000</v>
      </c>
      <c r="AM39" s="29">
        <f t="shared" si="1"/>
        <v>2640000</v>
      </c>
    </row>
    <row r="40" spans="2:39" x14ac:dyDescent="0.25">
      <c r="B40" s="3">
        <f t="shared" si="21"/>
        <v>35</v>
      </c>
      <c r="C40" s="3">
        <f>IF(B40&lt;=Parameters!$C$9,1,2)</f>
        <v>2</v>
      </c>
      <c r="D40" s="26">
        <f t="shared" si="22"/>
        <v>2238</v>
      </c>
      <c r="E40" s="26">
        <f>ROUND(D40*IF(C40=1,Parameters!$E$13,Parameters!$E$14),0)</f>
        <v>31</v>
      </c>
      <c r="F40" s="26">
        <f>ROUND((E40+D40)*IF(C40=1,Parameters!$E$17,Parameters!$E$18),0)</f>
        <v>7</v>
      </c>
      <c r="G40" s="26">
        <f t="shared" si="2"/>
        <v>2262</v>
      </c>
      <c r="H40" s="26">
        <f t="shared" si="3"/>
        <v>2238</v>
      </c>
      <c r="I40" s="26">
        <f t="shared" si="4"/>
        <v>2262</v>
      </c>
      <c r="J40" s="26">
        <f t="shared" si="5"/>
        <v>0</v>
      </c>
      <c r="K40" s="26">
        <f t="shared" si="6"/>
        <v>24</v>
      </c>
      <c r="L40" s="12" t="b">
        <f t="shared" si="7"/>
        <v>1</v>
      </c>
      <c r="N40" s="3">
        <f t="shared" si="8"/>
        <v>35</v>
      </c>
      <c r="O40" s="10">
        <f>IF(N40&lt;=Parameters!$C$10,1,0)</f>
        <v>0</v>
      </c>
      <c r="P40" s="3">
        <f t="shared" si="23"/>
        <v>166</v>
      </c>
      <c r="Q40" s="4">
        <f>Parameters!$C$31*O40</f>
        <v>0</v>
      </c>
      <c r="R40" s="4">
        <f>ROUND((Q40+P40)*Parameters!$E$23,0)</f>
        <v>1</v>
      </c>
      <c r="S40" s="3">
        <f t="shared" si="9"/>
        <v>165</v>
      </c>
      <c r="T40" s="3">
        <f t="shared" si="10"/>
        <v>166</v>
      </c>
      <c r="U40" s="3">
        <f t="shared" si="11"/>
        <v>165</v>
      </c>
      <c r="V40" s="19">
        <f t="shared" si="12"/>
        <v>1</v>
      </c>
      <c r="W40" s="19">
        <f t="shared" si="13"/>
        <v>0</v>
      </c>
      <c r="X40" s="12" t="b">
        <f t="shared" si="14"/>
        <v>1</v>
      </c>
      <c r="Z40" s="3">
        <f t="shared" si="15"/>
        <v>35</v>
      </c>
      <c r="AA40" s="27">
        <f>Parameters!$C$7</f>
        <v>2500</v>
      </c>
      <c r="AB40" s="26">
        <f t="shared" si="16"/>
        <v>2238</v>
      </c>
      <c r="AC40" s="26">
        <f t="shared" si="17"/>
        <v>166</v>
      </c>
      <c r="AD40" s="26">
        <f t="shared" si="18"/>
        <v>96</v>
      </c>
      <c r="AE40" s="26">
        <f t="shared" si="0"/>
        <v>1</v>
      </c>
      <c r="AF40" s="26">
        <f t="shared" si="0"/>
        <v>24</v>
      </c>
      <c r="AG40" s="26">
        <f t="shared" si="19"/>
        <v>73</v>
      </c>
      <c r="AH40" s="28">
        <f t="shared" si="20"/>
        <v>0</v>
      </c>
      <c r="AJ40" s="26">
        <f>IF(AG40&gt;=0,AF40*Parameters!$C$25,MAX(AD40+AE40,0)*Parameters!$C$25)</f>
        <v>1200000</v>
      </c>
      <c r="AK40" s="26">
        <f>IF(AG40&lt;0,-AG40*Parameters!$C$27,0)</f>
        <v>0</v>
      </c>
      <c r="AL40" s="26">
        <f>MAX(AG40,0)*Parameters!$C$26</f>
        <v>1095000</v>
      </c>
      <c r="AM40" s="29">
        <f t="shared" si="1"/>
        <v>2295000</v>
      </c>
    </row>
    <row r="41" spans="2:39" x14ac:dyDescent="0.25">
      <c r="B41" s="3">
        <f t="shared" si="21"/>
        <v>36</v>
      </c>
      <c r="C41" s="3">
        <f>IF(B41&lt;=Parameters!$C$9,1,2)</f>
        <v>2</v>
      </c>
      <c r="D41" s="26">
        <f t="shared" si="22"/>
        <v>2262</v>
      </c>
      <c r="E41" s="26">
        <f>ROUND(D41*IF(C41=1,Parameters!$E$13,Parameters!$E$14),0)</f>
        <v>31</v>
      </c>
      <c r="F41" s="26">
        <f>ROUND((E41+D41)*IF(C41=1,Parameters!$E$17,Parameters!$E$18),0)</f>
        <v>8</v>
      </c>
      <c r="G41" s="26">
        <f t="shared" si="2"/>
        <v>2285</v>
      </c>
      <c r="H41" s="26">
        <f t="shared" si="3"/>
        <v>2262</v>
      </c>
      <c r="I41" s="26">
        <f t="shared" si="4"/>
        <v>2285</v>
      </c>
      <c r="J41" s="26">
        <f t="shared" si="5"/>
        <v>0</v>
      </c>
      <c r="K41" s="26">
        <f t="shared" si="6"/>
        <v>23</v>
      </c>
      <c r="L41" s="12" t="b">
        <f t="shared" si="7"/>
        <v>1</v>
      </c>
      <c r="N41" s="3">
        <f t="shared" si="8"/>
        <v>36</v>
      </c>
      <c r="O41" s="10">
        <f>IF(N41&lt;=Parameters!$C$10,1,0)</f>
        <v>0</v>
      </c>
      <c r="P41" s="3">
        <f t="shared" si="23"/>
        <v>165</v>
      </c>
      <c r="Q41" s="4">
        <f>Parameters!$C$31*O41</f>
        <v>0</v>
      </c>
      <c r="R41" s="4">
        <f>ROUND((Q41+P41)*Parameters!$E$23,0)</f>
        <v>1</v>
      </c>
      <c r="S41" s="3">
        <f t="shared" si="9"/>
        <v>164</v>
      </c>
      <c r="T41" s="3">
        <f t="shared" si="10"/>
        <v>165</v>
      </c>
      <c r="U41" s="3">
        <f t="shared" si="11"/>
        <v>164</v>
      </c>
      <c r="V41" s="19">
        <f t="shared" si="12"/>
        <v>1</v>
      </c>
      <c r="W41" s="19">
        <f t="shared" si="13"/>
        <v>0</v>
      </c>
      <c r="X41" s="12" t="b">
        <f t="shared" si="14"/>
        <v>1</v>
      </c>
      <c r="Z41" s="3">
        <f t="shared" si="15"/>
        <v>36</v>
      </c>
      <c r="AA41" s="27">
        <f>Parameters!$C$7</f>
        <v>2500</v>
      </c>
      <c r="AB41" s="26">
        <f t="shared" si="16"/>
        <v>2262</v>
      </c>
      <c r="AC41" s="26">
        <f t="shared" si="17"/>
        <v>165</v>
      </c>
      <c r="AD41" s="26">
        <f t="shared" si="18"/>
        <v>73</v>
      </c>
      <c r="AE41" s="26">
        <f t="shared" si="0"/>
        <v>1</v>
      </c>
      <c r="AF41" s="26">
        <f t="shared" si="0"/>
        <v>23</v>
      </c>
      <c r="AG41" s="26">
        <f t="shared" si="19"/>
        <v>51</v>
      </c>
      <c r="AH41" s="28">
        <f t="shared" si="20"/>
        <v>0</v>
      </c>
      <c r="AJ41" s="26">
        <f>IF(AG41&gt;=0,AF41*Parameters!$C$25,MAX(AD41+AE41,0)*Parameters!$C$25)</f>
        <v>1150000</v>
      </c>
      <c r="AK41" s="26">
        <f>IF(AG41&lt;0,-AG41*Parameters!$C$27,0)</f>
        <v>0</v>
      </c>
      <c r="AL41" s="26">
        <f>MAX(AG41,0)*Parameters!$C$26</f>
        <v>765000</v>
      </c>
      <c r="AM41" s="29">
        <f t="shared" si="1"/>
        <v>1915000</v>
      </c>
    </row>
    <row r="43" spans="2:39" x14ac:dyDescent="0.25">
      <c r="B43" s="14" t="s">
        <v>7</v>
      </c>
      <c r="C43" s="14"/>
      <c r="D43" s="14"/>
      <c r="E43" s="15">
        <f>SUM(E6:E41)</f>
        <v>743</v>
      </c>
      <c r="F43" s="15">
        <f>SUM(F6:F41)</f>
        <v>458</v>
      </c>
      <c r="G43" s="14"/>
      <c r="H43" s="14"/>
      <c r="I43" s="14"/>
      <c r="J43" s="15">
        <f>SUM(J6:J41)</f>
        <v>109</v>
      </c>
      <c r="K43" s="15">
        <f>SUM(K6:K41)</f>
        <v>394</v>
      </c>
      <c r="N43" s="14" t="s">
        <v>7</v>
      </c>
      <c r="O43" s="14"/>
      <c r="P43" s="14"/>
      <c r="Q43" s="15">
        <f>SUM(Q6:Q41)</f>
        <v>0</v>
      </c>
      <c r="R43" s="15">
        <f>SUM(R6:R41)</f>
        <v>36</v>
      </c>
      <c r="S43" s="14"/>
      <c r="T43" s="14"/>
      <c r="U43" s="14"/>
      <c r="V43" s="15">
        <f>SUM(V6:V41)</f>
        <v>36</v>
      </c>
      <c r="W43" s="15">
        <f>SUM(W6:W41)</f>
        <v>0</v>
      </c>
      <c r="AJ43" s="30">
        <f>SUM(AJ6:AJ41)</f>
        <v>19700000</v>
      </c>
      <c r="AK43" s="30">
        <f>SUM(AK6:AK41)</f>
        <v>0</v>
      </c>
      <c r="AL43" s="30">
        <f>SUM(AL6:AL41)</f>
        <v>162330000</v>
      </c>
      <c r="AM43" s="30">
        <f>SUM(AM6:AM41)</f>
        <v>182030000</v>
      </c>
    </row>
    <row r="45" spans="2:39" x14ac:dyDescent="0.25">
      <c r="B45" t="s">
        <v>61</v>
      </c>
      <c r="E45" s="16">
        <f>D6+E43-F43</f>
        <v>2285</v>
      </c>
      <c r="N45" t="s">
        <v>61</v>
      </c>
      <c r="Q45" s="16">
        <f>P6+Q43-R43</f>
        <v>164</v>
      </c>
      <c r="AJ45" s="31">
        <f>AJ43/$AM$43</f>
        <v>0.10822391913420865</v>
      </c>
      <c r="AK45" s="31">
        <f>AK43/$AM$43</f>
        <v>0</v>
      </c>
      <c r="AL45" s="31">
        <f>AL43/$AM$43</f>
        <v>0.8917760808657913</v>
      </c>
      <c r="AM45" s="31">
        <f>AM43/$AM$43</f>
        <v>1</v>
      </c>
    </row>
    <row r="46" spans="2:39" x14ac:dyDescent="0.25">
      <c r="B46" t="s">
        <v>62</v>
      </c>
      <c r="E46" s="16">
        <f>I41</f>
        <v>2285</v>
      </c>
      <c r="F46" s="13" t="b">
        <f>E46=E45</f>
        <v>1</v>
      </c>
      <c r="N46" t="s">
        <v>62</v>
      </c>
      <c r="Q46" s="16">
        <f>U41</f>
        <v>164</v>
      </c>
      <c r="R46" s="13" t="b">
        <f>Q46=Q45</f>
        <v>1</v>
      </c>
    </row>
    <row r="48" spans="2:39" x14ac:dyDescent="0.25">
      <c r="B48" t="s">
        <v>63</v>
      </c>
      <c r="E48" s="17">
        <f>E46-D6</f>
        <v>285</v>
      </c>
      <c r="N48" t="s">
        <v>63</v>
      </c>
      <c r="Q48" s="17">
        <f>Q46-P6</f>
        <v>-36</v>
      </c>
      <c r="AJ48" s="23">
        <f>AJ43-'Projections - Base'!AJ43</f>
        <v>-1800000</v>
      </c>
      <c r="AK48" s="23">
        <f>AK43-'Projections - Base'!AK43</f>
        <v>-57120000</v>
      </c>
      <c r="AL48" s="23">
        <f>AL43-'Projections - Base'!AL43</f>
        <v>73755000</v>
      </c>
      <c r="AM48" s="23">
        <f>AM43-'Projections - Base'!AM43</f>
        <v>14835000</v>
      </c>
    </row>
    <row r="49" spans="2:39" x14ac:dyDescent="0.25">
      <c r="B49" t="s">
        <v>8</v>
      </c>
      <c r="E49" s="18">
        <f>J43</f>
        <v>109</v>
      </c>
      <c r="N49" t="s">
        <v>8</v>
      </c>
      <c r="Q49" s="18">
        <f>V43</f>
        <v>36</v>
      </c>
      <c r="AM49" s="23"/>
    </row>
    <row r="50" spans="2:39" x14ac:dyDescent="0.25">
      <c r="B50" t="s">
        <v>9</v>
      </c>
      <c r="E50" s="18">
        <f>K43</f>
        <v>394</v>
      </c>
      <c r="N50" t="s">
        <v>9</v>
      </c>
      <c r="Q50" s="18">
        <f>W43</f>
        <v>0</v>
      </c>
    </row>
    <row r="51" spans="2:39" x14ac:dyDescent="0.25">
      <c r="B51" t="s">
        <v>10</v>
      </c>
      <c r="E51" s="13" t="b">
        <f>E50-E49=E48</f>
        <v>1</v>
      </c>
      <c r="N51" t="s">
        <v>10</v>
      </c>
      <c r="Q51" s="13" t="b">
        <f>Q50-Q49=Q48</f>
        <v>1</v>
      </c>
    </row>
    <row r="52" spans="2:39" x14ac:dyDescent="0.25">
      <c r="AG52" s="23"/>
      <c r="AJ52" s="21"/>
      <c r="AK52" s="23"/>
      <c r="AM52" s="23"/>
    </row>
    <row r="53" spans="2:39" x14ac:dyDescent="0.25">
      <c r="AJ53" s="22"/>
      <c r="AK53" s="22"/>
      <c r="AL53" s="22"/>
      <c r="AM53" s="24"/>
    </row>
    <row r="54" spans="2:39" x14ac:dyDescent="0.25">
      <c r="AK54" s="22"/>
      <c r="AM54" s="24"/>
    </row>
    <row r="55" spans="2:39" x14ac:dyDescent="0.25">
      <c r="AK55" s="22"/>
      <c r="AM55" s="24"/>
    </row>
    <row r="56" spans="2:39" x14ac:dyDescent="0.25">
      <c r="AK56" s="22"/>
      <c r="AM56" s="24"/>
    </row>
    <row r="57" spans="2:39" x14ac:dyDescent="0.25">
      <c r="AK57" s="22"/>
      <c r="AM57" s="24"/>
    </row>
    <row r="58" spans="2:39" x14ac:dyDescent="0.25">
      <c r="AK58" s="22"/>
      <c r="AM58" s="24"/>
    </row>
    <row r="59" spans="2:39" x14ac:dyDescent="0.25">
      <c r="AK59" s="22"/>
      <c r="AM59" s="24"/>
    </row>
    <row r="60" spans="2:39" x14ac:dyDescent="0.25">
      <c r="AK60" s="22"/>
      <c r="AM60" s="24"/>
    </row>
    <row r="61" spans="2:39" x14ac:dyDescent="0.25">
      <c r="AK61" s="22"/>
      <c r="AM61" s="24"/>
    </row>
    <row r="62" spans="2:39" x14ac:dyDescent="0.25">
      <c r="AK62" s="22"/>
      <c r="AM62" s="24"/>
    </row>
    <row r="63" spans="2:39" x14ac:dyDescent="0.25">
      <c r="AK63" s="22"/>
      <c r="AM63" s="24"/>
    </row>
  </sheetData>
  <mergeCells count="4">
    <mergeCell ref="B4:K4"/>
    <mergeCell ref="N4:W4"/>
    <mergeCell ref="Z4:AG4"/>
    <mergeCell ref="AJ4:AM4"/>
  </mergeCells>
  <hyperlinks>
    <hyperlink ref="G5" r:id="rId1"/>
    <hyperlink ref="S5"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M70"/>
  <sheetViews>
    <sheetView showGridLines="0" zoomScale="85" zoomScaleNormal="85" workbookViewId="0">
      <pane xSplit="2" ySplit="5" topLeftCell="N6" activePane="bottomRight" state="frozen"/>
      <selection pane="topRight" activeCell="C1" sqref="C1"/>
      <selection pane="bottomLeft" activeCell="A6" sqref="A6"/>
      <selection pane="bottomRight" activeCell="AG60" sqref="AG60"/>
    </sheetView>
  </sheetViews>
  <sheetFormatPr defaultRowHeight="15" x14ac:dyDescent="0.25"/>
  <cols>
    <col min="4" max="4" width="10.5703125" customWidth="1"/>
    <col min="5" max="5" width="13.140625" customWidth="1"/>
    <col min="6" max="6" width="13" customWidth="1"/>
    <col min="7" max="9" width="9.5703125" bestFit="1" customWidth="1"/>
    <col min="10" max="10" width="12" customWidth="1"/>
    <col min="11" max="11" width="13.42578125" customWidth="1"/>
    <col min="12" max="12" width="13" customWidth="1"/>
    <col min="16" max="16" width="10.42578125" customWidth="1"/>
    <col min="20" max="20" width="11" customWidth="1"/>
    <col min="21" max="21" width="10" customWidth="1"/>
    <col min="22" max="22" width="12.42578125" customWidth="1"/>
    <col min="24" max="24" width="13.42578125" customWidth="1"/>
    <col min="26" max="26" width="10.42578125" customWidth="1"/>
    <col min="27" max="27" width="12.140625" customWidth="1"/>
    <col min="28" max="28" width="13.140625" customWidth="1"/>
    <col min="29" max="29" width="14.140625" customWidth="1"/>
    <col min="30" max="30" width="11.7109375" customWidth="1"/>
    <col min="31" max="33" width="10.42578125" customWidth="1"/>
    <col min="34" max="34" width="9.140625" style="12"/>
    <col min="36" max="36" width="12.140625" customWidth="1"/>
    <col min="37" max="39" width="15.140625" bestFit="1" customWidth="1"/>
  </cols>
  <sheetData>
    <row r="4" spans="2:39" x14ac:dyDescent="0.25">
      <c r="B4" s="82" t="s">
        <v>70</v>
      </c>
      <c r="C4" s="82"/>
      <c r="D4" s="82"/>
      <c r="E4" s="82"/>
      <c r="F4" s="82"/>
      <c r="G4" s="82"/>
      <c r="H4" s="82"/>
      <c r="I4" s="82"/>
      <c r="J4" s="82"/>
      <c r="K4" s="82"/>
      <c r="N4" s="82" t="s">
        <v>54</v>
      </c>
      <c r="O4" s="82"/>
      <c r="P4" s="82"/>
      <c r="Q4" s="82"/>
      <c r="R4" s="82"/>
      <c r="S4" s="82"/>
      <c r="T4" s="82"/>
      <c r="U4" s="82"/>
      <c r="V4" s="82"/>
      <c r="W4" s="82"/>
      <c r="Z4" s="82" t="s">
        <v>12</v>
      </c>
      <c r="AA4" s="82"/>
      <c r="AB4" s="82"/>
      <c r="AC4" s="82"/>
      <c r="AD4" s="82"/>
      <c r="AE4" s="82"/>
      <c r="AF4" s="82"/>
      <c r="AG4" s="82"/>
      <c r="AJ4" s="82" t="s">
        <v>28</v>
      </c>
      <c r="AK4" s="82"/>
      <c r="AL4" s="82"/>
      <c r="AM4" s="82"/>
    </row>
    <row r="5" spans="2:39" s="2" customFormat="1" ht="75" x14ac:dyDescent="0.25">
      <c r="B5" s="5" t="s">
        <v>0</v>
      </c>
      <c r="C5" s="5" t="s">
        <v>5</v>
      </c>
      <c r="D5" s="5" t="s">
        <v>55</v>
      </c>
      <c r="E5" s="5" t="s">
        <v>56</v>
      </c>
      <c r="F5" s="5" t="s">
        <v>57</v>
      </c>
      <c r="G5" s="54" t="s">
        <v>71</v>
      </c>
      <c r="H5" s="5" t="s">
        <v>59</v>
      </c>
      <c r="I5" s="5" t="s">
        <v>60</v>
      </c>
      <c r="J5" s="5" t="s">
        <v>41</v>
      </c>
      <c r="K5" s="5" t="s">
        <v>42</v>
      </c>
      <c r="L5" s="11" t="s">
        <v>6</v>
      </c>
      <c r="N5" s="5" t="s">
        <v>0</v>
      </c>
      <c r="O5" s="5" t="s">
        <v>43</v>
      </c>
      <c r="P5" s="5" t="s">
        <v>55</v>
      </c>
      <c r="Q5" s="76" t="s">
        <v>56</v>
      </c>
      <c r="R5" s="5" t="s">
        <v>57</v>
      </c>
      <c r="S5" s="54" t="s">
        <v>72</v>
      </c>
      <c r="T5" s="5" t="s">
        <v>59</v>
      </c>
      <c r="U5" s="5" t="s">
        <v>60</v>
      </c>
      <c r="V5" s="5" t="s">
        <v>41</v>
      </c>
      <c r="W5" s="5" t="s">
        <v>42</v>
      </c>
      <c r="X5" s="11" t="s">
        <v>6</v>
      </c>
      <c r="Z5" s="5" t="s">
        <v>0</v>
      </c>
      <c r="AA5" s="20" t="s">
        <v>64</v>
      </c>
      <c r="AB5" s="20" t="s">
        <v>65</v>
      </c>
      <c r="AC5" s="20" t="s">
        <v>66</v>
      </c>
      <c r="AD5" s="20" t="s">
        <v>67</v>
      </c>
      <c r="AE5" s="20" t="s">
        <v>68</v>
      </c>
      <c r="AF5" s="20" t="s">
        <v>69</v>
      </c>
      <c r="AG5" s="20" t="s">
        <v>44</v>
      </c>
      <c r="AH5" s="11" t="s">
        <v>13</v>
      </c>
      <c r="AJ5" s="20" t="s">
        <v>29</v>
      </c>
      <c r="AK5" s="20" t="s">
        <v>30</v>
      </c>
      <c r="AL5" s="20" t="s">
        <v>14</v>
      </c>
      <c r="AM5" s="20" t="s">
        <v>15</v>
      </c>
    </row>
    <row r="6" spans="2:39" x14ac:dyDescent="0.25">
      <c r="B6" s="6">
        <v>1</v>
      </c>
      <c r="C6" s="10">
        <f>IF(B6&lt;=Parameters!$C$9,1,2)</f>
        <v>1</v>
      </c>
      <c r="D6" s="26">
        <f>Parameters!$C$5</f>
        <v>2000</v>
      </c>
      <c r="E6" s="26">
        <f>ROUND(D6*IF(C6=1,Parameters!$E$13,Parameters!$E$14),0)</f>
        <v>13</v>
      </c>
      <c r="F6" s="26">
        <f>ROUND((E6+D6)*IF(C6=1,Parameters!$E$17,Parameters!$E$18),0)</f>
        <v>19</v>
      </c>
      <c r="G6" s="26">
        <f>D6+E6-F6</f>
        <v>1994</v>
      </c>
      <c r="H6" s="26">
        <f>D6</f>
        <v>2000</v>
      </c>
      <c r="I6" s="26">
        <f>G6</f>
        <v>1994</v>
      </c>
      <c r="J6" s="26">
        <f>IF(H6&gt;I6,H6-I6,0)</f>
        <v>6</v>
      </c>
      <c r="K6" s="26">
        <f>IF(I6&gt;H6,I6-H6,0)</f>
        <v>0</v>
      </c>
      <c r="L6" s="12" t="b">
        <f>J6*K6=0</f>
        <v>1</v>
      </c>
      <c r="N6" s="10">
        <f>B6</f>
        <v>1</v>
      </c>
      <c r="O6" s="10">
        <f>IF(N6&lt;=Parameters!$C$10,1,0)</f>
        <v>1</v>
      </c>
      <c r="P6" s="55">
        <f>Parameters!C6</f>
        <v>200</v>
      </c>
      <c r="Q6" s="55">
        <f>Parameters!$C$35*O6</f>
        <v>2.6842105263157738</v>
      </c>
      <c r="R6" s="55">
        <f>ROUND((Q6+P6)*Parameters!$E$23,0)</f>
        <v>1</v>
      </c>
      <c r="S6" s="55">
        <f>P6+Q6-R6</f>
        <v>201.68421052631578</v>
      </c>
      <c r="T6" s="55">
        <f>P6</f>
        <v>200</v>
      </c>
      <c r="U6" s="55">
        <f>S6</f>
        <v>201.68421052631578</v>
      </c>
      <c r="V6" s="26">
        <f>IF(T6&gt;U6,T6-U6,0)</f>
        <v>0</v>
      </c>
      <c r="W6" s="26">
        <f>IF(U6&gt;T6,U6-T6,0)</f>
        <v>1.6842105263157805</v>
      </c>
      <c r="X6" s="12" t="b">
        <f>V6*W6=0</f>
        <v>1</v>
      </c>
      <c r="Z6" s="3">
        <f>N6</f>
        <v>1</v>
      </c>
      <c r="AA6" s="27">
        <f>Parameters!$C$7</f>
        <v>2500</v>
      </c>
      <c r="AB6" s="26">
        <f>D6</f>
        <v>2000</v>
      </c>
      <c r="AC6" s="26">
        <f>P6</f>
        <v>200</v>
      </c>
      <c r="AD6" s="26">
        <f>AA6-AB6-AC6</f>
        <v>300</v>
      </c>
      <c r="AE6" s="26">
        <f>J6+V6</f>
        <v>6</v>
      </c>
      <c r="AF6" s="26">
        <f t="shared" ref="AE6:AF41" si="0">K6+W6</f>
        <v>1.6842105263157805</v>
      </c>
      <c r="AG6" s="26">
        <f>AD6+AE6-AF6</f>
        <v>304.31578947368422</v>
      </c>
      <c r="AH6" s="28">
        <f>AA6-G6-S6-AG6</f>
        <v>0</v>
      </c>
      <c r="AJ6" s="26">
        <f>IF(AG6&gt;=0,AF6*Parameters!$C$25,MAX(AD6+AE6,0)*Parameters!$C$25)</f>
        <v>84210.526315789029</v>
      </c>
      <c r="AK6" s="26">
        <f>IF(AG6&lt;0,-AG6*Parameters!$C$27,0)</f>
        <v>0</v>
      </c>
      <c r="AL6" s="26">
        <f>MAX(AG6,0)*Parameters!$C$26</f>
        <v>4564736.8421052629</v>
      </c>
      <c r="AM6" s="29">
        <f t="shared" ref="AM6:AM41" si="1">SUM(AJ6:AL6)</f>
        <v>4648947.3684210517</v>
      </c>
    </row>
    <row r="7" spans="2:39" x14ac:dyDescent="0.25">
      <c r="B7" s="3">
        <f>B6+1</f>
        <v>2</v>
      </c>
      <c r="C7" s="3">
        <f>IF(B7&lt;=Parameters!$C$9,1,2)</f>
        <v>1</v>
      </c>
      <c r="D7" s="26">
        <f>G6</f>
        <v>1994</v>
      </c>
      <c r="E7" s="26">
        <f>ROUND(D7*IF(C7=1,Parameters!$E$13,Parameters!$E$14),0)</f>
        <v>13</v>
      </c>
      <c r="F7" s="26">
        <f>ROUND((E7+D7)*IF(C7=1,Parameters!$E$17,Parameters!$E$18),0)</f>
        <v>19</v>
      </c>
      <c r="G7" s="26">
        <f t="shared" ref="G7:G41" si="2">D7+E7-F7</f>
        <v>1988</v>
      </c>
      <c r="H7" s="26">
        <f t="shared" ref="H7:H41" si="3">D7</f>
        <v>1994</v>
      </c>
      <c r="I7" s="26">
        <f t="shared" ref="I7:I41" si="4">G7</f>
        <v>1988</v>
      </c>
      <c r="J7" s="26">
        <f t="shared" ref="J7:J41" si="5">IF(H7&gt;I7,H7-I7,0)</f>
        <v>6</v>
      </c>
      <c r="K7" s="26">
        <f t="shared" ref="K7:K41" si="6">IF(I7&gt;H7,I7-H7,0)</f>
        <v>0</v>
      </c>
      <c r="L7" s="12" t="b">
        <f t="shared" ref="L7:L41" si="7">J7*K7=0</f>
        <v>1</v>
      </c>
      <c r="N7" s="3">
        <f t="shared" ref="N7:N41" si="8">B7</f>
        <v>2</v>
      </c>
      <c r="O7" s="10">
        <f>IF(N7&lt;=Parameters!$C$10,1,0)</f>
        <v>1</v>
      </c>
      <c r="P7" s="55">
        <f>S6</f>
        <v>201.68421052631578</v>
      </c>
      <c r="Q7" s="55">
        <f>Parameters!$C$35*O7</f>
        <v>2.6842105263157738</v>
      </c>
      <c r="R7" s="55">
        <f>ROUND((Q7+P7)*Parameters!$E$23,0)</f>
        <v>1</v>
      </c>
      <c r="S7" s="55">
        <f t="shared" ref="S7:S41" si="9">P7+Q7-R7</f>
        <v>203.36842105263156</v>
      </c>
      <c r="T7" s="55">
        <f t="shared" ref="T7:T41" si="10">P7</f>
        <v>201.68421052631578</v>
      </c>
      <c r="U7" s="55">
        <f t="shared" ref="U7:U41" si="11">S7</f>
        <v>203.36842105263156</v>
      </c>
      <c r="V7" s="26">
        <f t="shared" ref="V7:V41" si="12">IF(T7&gt;U7,T7-U7,0)</f>
        <v>0</v>
      </c>
      <c r="W7" s="26">
        <f t="shared" ref="W7:W41" si="13">IF(U7&gt;T7,U7-T7,0)</f>
        <v>1.6842105263157805</v>
      </c>
      <c r="X7" s="12" t="b">
        <f t="shared" ref="X7:X41" si="14">V7*W7=0</f>
        <v>1</v>
      </c>
      <c r="Z7" s="3">
        <f t="shared" ref="Z7:Z41" si="15">N7</f>
        <v>2</v>
      </c>
      <c r="AA7" s="27">
        <f>Parameters!$C$7</f>
        <v>2500</v>
      </c>
      <c r="AB7" s="26">
        <f t="shared" ref="AB7:AB41" si="16">D7</f>
        <v>1994</v>
      </c>
      <c r="AC7" s="26">
        <f t="shared" ref="AC7:AC41" si="17">P7</f>
        <v>201.68421052631578</v>
      </c>
      <c r="AD7" s="26">
        <f t="shared" ref="AD7:AD41" si="18">AA7-AB7-AC7</f>
        <v>304.31578947368422</v>
      </c>
      <c r="AE7" s="26">
        <f t="shared" si="0"/>
        <v>6</v>
      </c>
      <c r="AF7" s="26">
        <f t="shared" si="0"/>
        <v>1.6842105263157805</v>
      </c>
      <c r="AG7" s="26">
        <f t="shared" ref="AG7:AG41" si="19">AD7+AE7-AF7</f>
        <v>308.63157894736844</v>
      </c>
      <c r="AH7" s="28">
        <f t="shared" ref="AH7:AH41" si="20">AA7-G7-S7-AG7</f>
        <v>0</v>
      </c>
      <c r="AJ7" s="26">
        <f>IF(AG7&gt;=0,AF7*Parameters!$C$25,MAX(AD7+AE7,0)*Parameters!$C$25)</f>
        <v>84210.526315789029</v>
      </c>
      <c r="AK7" s="26">
        <f>IF(AG7&lt;0,-AG7*Parameters!$C$27,0)</f>
        <v>0</v>
      </c>
      <c r="AL7" s="26">
        <f>MAX(AG7,0)*Parameters!$C$26</f>
        <v>4629473.6842105268</v>
      </c>
      <c r="AM7" s="29">
        <f t="shared" si="1"/>
        <v>4713684.2105263155</v>
      </c>
    </row>
    <row r="8" spans="2:39" x14ac:dyDescent="0.25">
      <c r="B8" s="3">
        <f t="shared" ref="B8:B41" si="21">B7+1</f>
        <v>3</v>
      </c>
      <c r="C8" s="3">
        <f>IF(B8&lt;=Parameters!$C$9,1,2)</f>
        <v>1</v>
      </c>
      <c r="D8" s="26">
        <f t="shared" ref="D8:D41" si="22">G7</f>
        <v>1988</v>
      </c>
      <c r="E8" s="26">
        <f>ROUND(D8*IF(C8=1,Parameters!$E$13,Parameters!$E$14),0)</f>
        <v>13</v>
      </c>
      <c r="F8" s="26">
        <f>ROUND((E8+D8)*IF(C8=1,Parameters!$E$17,Parameters!$E$18),0)</f>
        <v>19</v>
      </c>
      <c r="G8" s="26">
        <f t="shared" si="2"/>
        <v>1982</v>
      </c>
      <c r="H8" s="26">
        <f t="shared" si="3"/>
        <v>1988</v>
      </c>
      <c r="I8" s="26">
        <f t="shared" si="4"/>
        <v>1982</v>
      </c>
      <c r="J8" s="26">
        <f t="shared" si="5"/>
        <v>6</v>
      </c>
      <c r="K8" s="26">
        <f t="shared" si="6"/>
        <v>0</v>
      </c>
      <c r="L8" s="12" t="b">
        <f t="shared" si="7"/>
        <v>1</v>
      </c>
      <c r="N8" s="3">
        <f t="shared" si="8"/>
        <v>3</v>
      </c>
      <c r="O8" s="10">
        <f>IF(N8&lt;=Parameters!$C$10,1,0)</f>
        <v>1</v>
      </c>
      <c r="P8" s="55">
        <f t="shared" ref="P8:P41" si="23">S7</f>
        <v>203.36842105263156</v>
      </c>
      <c r="Q8" s="55">
        <f>Parameters!$C$35*O8</f>
        <v>2.6842105263157738</v>
      </c>
      <c r="R8" s="55">
        <f>ROUND((Q8+P8)*Parameters!$E$23,0)</f>
        <v>1</v>
      </c>
      <c r="S8" s="55">
        <f t="shared" si="9"/>
        <v>205.05263157894734</v>
      </c>
      <c r="T8" s="55">
        <f t="shared" si="10"/>
        <v>203.36842105263156</v>
      </c>
      <c r="U8" s="55">
        <f t="shared" si="11"/>
        <v>205.05263157894734</v>
      </c>
      <c r="V8" s="26">
        <f t="shared" si="12"/>
        <v>0</v>
      </c>
      <c r="W8" s="26">
        <f t="shared" si="13"/>
        <v>1.6842105263157805</v>
      </c>
      <c r="X8" s="12" t="b">
        <f t="shared" si="14"/>
        <v>1</v>
      </c>
      <c r="Z8" s="3">
        <f t="shared" si="15"/>
        <v>3</v>
      </c>
      <c r="AA8" s="27">
        <f>Parameters!$C$7</f>
        <v>2500</v>
      </c>
      <c r="AB8" s="26">
        <f t="shared" si="16"/>
        <v>1988</v>
      </c>
      <c r="AC8" s="26">
        <f t="shared" si="17"/>
        <v>203.36842105263156</v>
      </c>
      <c r="AD8" s="26">
        <f t="shared" si="18"/>
        <v>308.63157894736844</v>
      </c>
      <c r="AE8" s="26">
        <f t="shared" si="0"/>
        <v>6</v>
      </c>
      <c r="AF8" s="26">
        <f t="shared" si="0"/>
        <v>1.6842105263157805</v>
      </c>
      <c r="AG8" s="26">
        <f t="shared" si="19"/>
        <v>312.94736842105266</v>
      </c>
      <c r="AH8" s="28">
        <f t="shared" si="20"/>
        <v>0</v>
      </c>
      <c r="AJ8" s="26">
        <f>IF(AG8&gt;=0,AF8*Parameters!$C$25,MAX(AD8+AE8,0)*Parameters!$C$25)</f>
        <v>84210.526315789029</v>
      </c>
      <c r="AK8" s="26">
        <f>IF(AG8&lt;0,-AG8*Parameters!$C$27,0)</f>
        <v>0</v>
      </c>
      <c r="AL8" s="26">
        <f>MAX(AG8,0)*Parameters!$C$26</f>
        <v>4694210.5263157897</v>
      </c>
      <c r="AM8" s="29">
        <f t="shared" si="1"/>
        <v>4778421.0526315784</v>
      </c>
    </row>
    <row r="9" spans="2:39" x14ac:dyDescent="0.25">
      <c r="B9" s="3">
        <f t="shared" si="21"/>
        <v>4</v>
      </c>
      <c r="C9" s="3">
        <f>IF(B9&lt;=Parameters!$C$9,1,2)</f>
        <v>1</v>
      </c>
      <c r="D9" s="26">
        <f t="shared" si="22"/>
        <v>1982</v>
      </c>
      <c r="E9" s="26">
        <f>ROUND(D9*IF(C9=1,Parameters!$E$13,Parameters!$E$14),0)</f>
        <v>13</v>
      </c>
      <c r="F9" s="26">
        <f>ROUND((E9+D9)*IF(C9=1,Parameters!$E$17,Parameters!$E$18),0)</f>
        <v>19</v>
      </c>
      <c r="G9" s="26">
        <f t="shared" si="2"/>
        <v>1976</v>
      </c>
      <c r="H9" s="26">
        <f t="shared" si="3"/>
        <v>1982</v>
      </c>
      <c r="I9" s="26">
        <f t="shared" si="4"/>
        <v>1976</v>
      </c>
      <c r="J9" s="26">
        <f t="shared" si="5"/>
        <v>6</v>
      </c>
      <c r="K9" s="26">
        <f t="shared" si="6"/>
        <v>0</v>
      </c>
      <c r="L9" s="12" t="b">
        <f t="shared" si="7"/>
        <v>1</v>
      </c>
      <c r="N9" s="3">
        <f t="shared" si="8"/>
        <v>4</v>
      </c>
      <c r="O9" s="10">
        <f>IF(N9&lt;=Parameters!$C$10,1,0)</f>
        <v>1</v>
      </c>
      <c r="P9" s="55">
        <f t="shared" si="23"/>
        <v>205.05263157894734</v>
      </c>
      <c r="Q9" s="55">
        <f>Parameters!$C$35*O9</f>
        <v>2.6842105263157738</v>
      </c>
      <c r="R9" s="55">
        <f>ROUND((Q9+P9)*Parameters!$E$23,0)</f>
        <v>1</v>
      </c>
      <c r="S9" s="55">
        <f t="shared" si="9"/>
        <v>206.73684210526312</v>
      </c>
      <c r="T9" s="55">
        <f t="shared" si="10"/>
        <v>205.05263157894734</v>
      </c>
      <c r="U9" s="55">
        <f t="shared" si="11"/>
        <v>206.73684210526312</v>
      </c>
      <c r="V9" s="26">
        <f t="shared" si="12"/>
        <v>0</v>
      </c>
      <c r="W9" s="26">
        <f t="shared" si="13"/>
        <v>1.6842105263157805</v>
      </c>
      <c r="X9" s="12" t="b">
        <f t="shared" si="14"/>
        <v>1</v>
      </c>
      <c r="Z9" s="3">
        <f t="shared" si="15"/>
        <v>4</v>
      </c>
      <c r="AA9" s="27">
        <f>Parameters!$C$7</f>
        <v>2500</v>
      </c>
      <c r="AB9" s="26">
        <f t="shared" si="16"/>
        <v>1982</v>
      </c>
      <c r="AC9" s="26">
        <f t="shared" si="17"/>
        <v>205.05263157894734</v>
      </c>
      <c r="AD9" s="26">
        <f t="shared" si="18"/>
        <v>312.94736842105266</v>
      </c>
      <c r="AE9" s="26">
        <f t="shared" si="0"/>
        <v>6</v>
      </c>
      <c r="AF9" s="26">
        <f t="shared" si="0"/>
        <v>1.6842105263157805</v>
      </c>
      <c r="AG9" s="26">
        <f t="shared" si="19"/>
        <v>317.26315789473688</v>
      </c>
      <c r="AH9" s="28">
        <f t="shared" si="20"/>
        <v>0</v>
      </c>
      <c r="AJ9" s="26">
        <f>IF(AG9&gt;=0,AF9*Parameters!$C$25,MAX(AD9+AE9,0)*Parameters!$C$25)</f>
        <v>84210.526315789029</v>
      </c>
      <c r="AK9" s="26">
        <f>IF(AG9&lt;0,-AG9*Parameters!$C$27,0)</f>
        <v>0</v>
      </c>
      <c r="AL9" s="26">
        <f>MAX(AG9,0)*Parameters!$C$26</f>
        <v>4758947.3684210535</v>
      </c>
      <c r="AM9" s="29">
        <f t="shared" si="1"/>
        <v>4843157.8947368423</v>
      </c>
    </row>
    <row r="10" spans="2:39" x14ac:dyDescent="0.25">
      <c r="B10" s="3">
        <f t="shared" si="21"/>
        <v>5</v>
      </c>
      <c r="C10" s="3">
        <f>IF(B10&lt;=Parameters!$C$9,1,2)</f>
        <v>1</v>
      </c>
      <c r="D10" s="26">
        <f t="shared" si="22"/>
        <v>1976</v>
      </c>
      <c r="E10" s="26">
        <f>ROUND(D10*IF(C10=1,Parameters!$E$13,Parameters!$E$14),0)</f>
        <v>13</v>
      </c>
      <c r="F10" s="26">
        <f>ROUND((E10+D10)*IF(C10=1,Parameters!$E$17,Parameters!$E$18),0)</f>
        <v>19</v>
      </c>
      <c r="G10" s="26">
        <f t="shared" si="2"/>
        <v>1970</v>
      </c>
      <c r="H10" s="26">
        <f t="shared" si="3"/>
        <v>1976</v>
      </c>
      <c r="I10" s="26">
        <f t="shared" si="4"/>
        <v>1970</v>
      </c>
      <c r="J10" s="26">
        <f t="shared" si="5"/>
        <v>6</v>
      </c>
      <c r="K10" s="26">
        <f t="shared" si="6"/>
        <v>0</v>
      </c>
      <c r="L10" s="12" t="b">
        <f t="shared" si="7"/>
        <v>1</v>
      </c>
      <c r="N10" s="3">
        <f t="shared" si="8"/>
        <v>5</v>
      </c>
      <c r="O10" s="10">
        <f>IF(N10&lt;=Parameters!$C$10,1,0)</f>
        <v>1</v>
      </c>
      <c r="P10" s="55">
        <f t="shared" si="23"/>
        <v>206.73684210526312</v>
      </c>
      <c r="Q10" s="55">
        <f>Parameters!$C$35*O10</f>
        <v>2.6842105263157738</v>
      </c>
      <c r="R10" s="55">
        <f>ROUND((Q10+P10)*Parameters!$E$23,0)</f>
        <v>1</v>
      </c>
      <c r="S10" s="55">
        <f t="shared" si="9"/>
        <v>208.4210526315789</v>
      </c>
      <c r="T10" s="55">
        <f t="shared" si="10"/>
        <v>206.73684210526312</v>
      </c>
      <c r="U10" s="55">
        <f t="shared" si="11"/>
        <v>208.4210526315789</v>
      </c>
      <c r="V10" s="26">
        <f t="shared" si="12"/>
        <v>0</v>
      </c>
      <c r="W10" s="26">
        <f t="shared" si="13"/>
        <v>1.6842105263157805</v>
      </c>
      <c r="X10" s="12" t="b">
        <f t="shared" si="14"/>
        <v>1</v>
      </c>
      <c r="Z10" s="3">
        <f t="shared" si="15"/>
        <v>5</v>
      </c>
      <c r="AA10" s="27">
        <f>Parameters!$C$7</f>
        <v>2500</v>
      </c>
      <c r="AB10" s="26">
        <f t="shared" si="16"/>
        <v>1976</v>
      </c>
      <c r="AC10" s="26">
        <f t="shared" si="17"/>
        <v>206.73684210526312</v>
      </c>
      <c r="AD10" s="26">
        <f t="shared" si="18"/>
        <v>317.26315789473688</v>
      </c>
      <c r="AE10" s="26">
        <f t="shared" si="0"/>
        <v>6</v>
      </c>
      <c r="AF10" s="26">
        <f t="shared" si="0"/>
        <v>1.6842105263157805</v>
      </c>
      <c r="AG10" s="26">
        <f t="shared" si="19"/>
        <v>321.5789473684211</v>
      </c>
      <c r="AH10" s="28">
        <f t="shared" si="20"/>
        <v>0</v>
      </c>
      <c r="AJ10" s="26">
        <f>IF(AG10&gt;=0,AF10*Parameters!$C$25,MAX(AD10+AE10,0)*Parameters!$C$25)</f>
        <v>84210.526315789029</v>
      </c>
      <c r="AK10" s="26">
        <f>IF(AG10&lt;0,-AG10*Parameters!$C$27,0)</f>
        <v>0</v>
      </c>
      <c r="AL10" s="26">
        <f>MAX(AG10,0)*Parameters!$C$26</f>
        <v>4823684.2105263164</v>
      </c>
      <c r="AM10" s="29">
        <f t="shared" si="1"/>
        <v>4907894.7368421052</v>
      </c>
    </row>
    <row r="11" spans="2:39" x14ac:dyDescent="0.25">
      <c r="B11" s="3">
        <f t="shared" si="21"/>
        <v>6</v>
      </c>
      <c r="C11" s="3">
        <f>IF(B11&lt;=Parameters!$C$9,1,2)</f>
        <v>1</v>
      </c>
      <c r="D11" s="26">
        <f t="shared" si="22"/>
        <v>1970</v>
      </c>
      <c r="E11" s="26">
        <f>ROUND(D11*IF(C11=1,Parameters!$E$13,Parameters!$E$14),0)</f>
        <v>13</v>
      </c>
      <c r="F11" s="26">
        <f>ROUND((E11+D11)*IF(C11=1,Parameters!$E$17,Parameters!$E$18),0)</f>
        <v>19</v>
      </c>
      <c r="G11" s="26">
        <f t="shared" si="2"/>
        <v>1964</v>
      </c>
      <c r="H11" s="26">
        <f t="shared" si="3"/>
        <v>1970</v>
      </c>
      <c r="I11" s="26">
        <f t="shared" si="4"/>
        <v>1964</v>
      </c>
      <c r="J11" s="26">
        <f t="shared" si="5"/>
        <v>6</v>
      </c>
      <c r="K11" s="26">
        <f t="shared" si="6"/>
        <v>0</v>
      </c>
      <c r="L11" s="12" t="b">
        <f t="shared" si="7"/>
        <v>1</v>
      </c>
      <c r="N11" s="3">
        <f t="shared" si="8"/>
        <v>6</v>
      </c>
      <c r="O11" s="10">
        <f>IF(N11&lt;=Parameters!$C$10,1,0)</f>
        <v>1</v>
      </c>
      <c r="P11" s="55">
        <f t="shared" si="23"/>
        <v>208.4210526315789</v>
      </c>
      <c r="Q11" s="55">
        <f>Parameters!$C$35*O11</f>
        <v>2.6842105263157738</v>
      </c>
      <c r="R11" s="55">
        <f>ROUND((Q11+P11)*Parameters!$E$23,0)</f>
        <v>1</v>
      </c>
      <c r="S11" s="55">
        <f t="shared" si="9"/>
        <v>210.10526315789468</v>
      </c>
      <c r="T11" s="55">
        <f t="shared" si="10"/>
        <v>208.4210526315789</v>
      </c>
      <c r="U11" s="55">
        <f t="shared" si="11"/>
        <v>210.10526315789468</v>
      </c>
      <c r="V11" s="26">
        <f t="shared" si="12"/>
        <v>0</v>
      </c>
      <c r="W11" s="26">
        <f t="shared" si="13"/>
        <v>1.6842105263157805</v>
      </c>
      <c r="X11" s="12" t="b">
        <f t="shared" si="14"/>
        <v>1</v>
      </c>
      <c r="Z11" s="3">
        <f t="shared" si="15"/>
        <v>6</v>
      </c>
      <c r="AA11" s="27">
        <f>Parameters!$C$7</f>
        <v>2500</v>
      </c>
      <c r="AB11" s="26">
        <f t="shared" si="16"/>
        <v>1970</v>
      </c>
      <c r="AC11" s="26">
        <f t="shared" si="17"/>
        <v>208.4210526315789</v>
      </c>
      <c r="AD11" s="26">
        <f t="shared" si="18"/>
        <v>321.5789473684211</v>
      </c>
      <c r="AE11" s="26">
        <f t="shared" si="0"/>
        <v>6</v>
      </c>
      <c r="AF11" s="26">
        <f t="shared" si="0"/>
        <v>1.6842105263157805</v>
      </c>
      <c r="AG11" s="26">
        <f t="shared" si="19"/>
        <v>325.89473684210532</v>
      </c>
      <c r="AH11" s="28">
        <f t="shared" si="20"/>
        <v>0</v>
      </c>
      <c r="AJ11" s="26">
        <f>IF(AG11&gt;=0,AF11*Parameters!$C$25,MAX(AD11+AE11,0)*Parameters!$C$25)</f>
        <v>84210.526315789029</v>
      </c>
      <c r="AK11" s="26">
        <f>IF(AG11&lt;0,-AG11*Parameters!$C$27,0)</f>
        <v>0</v>
      </c>
      <c r="AL11" s="26">
        <f>MAX(AG11,0)*Parameters!$C$26</f>
        <v>4888421.0526315793</v>
      </c>
      <c r="AM11" s="29">
        <f t="shared" si="1"/>
        <v>4972631.5789473681</v>
      </c>
    </row>
    <row r="12" spans="2:39" x14ac:dyDescent="0.25">
      <c r="B12" s="3">
        <f t="shared" si="21"/>
        <v>7</v>
      </c>
      <c r="C12" s="3">
        <f>IF(B12&lt;=Parameters!$C$9,1,2)</f>
        <v>1</v>
      </c>
      <c r="D12" s="26">
        <f t="shared" si="22"/>
        <v>1964</v>
      </c>
      <c r="E12" s="26">
        <f>ROUND(D12*IF(C12=1,Parameters!$E$13,Parameters!$E$14),0)</f>
        <v>13</v>
      </c>
      <c r="F12" s="26">
        <f>ROUND((E12+D12)*IF(C12=1,Parameters!$E$17,Parameters!$E$18),0)</f>
        <v>19</v>
      </c>
      <c r="G12" s="26">
        <f t="shared" si="2"/>
        <v>1958</v>
      </c>
      <c r="H12" s="26">
        <f t="shared" si="3"/>
        <v>1964</v>
      </c>
      <c r="I12" s="26">
        <f t="shared" si="4"/>
        <v>1958</v>
      </c>
      <c r="J12" s="26">
        <f t="shared" si="5"/>
        <v>6</v>
      </c>
      <c r="K12" s="26">
        <f t="shared" si="6"/>
        <v>0</v>
      </c>
      <c r="L12" s="12" t="b">
        <f t="shared" si="7"/>
        <v>1</v>
      </c>
      <c r="N12" s="3">
        <f t="shared" si="8"/>
        <v>7</v>
      </c>
      <c r="O12" s="10">
        <f>IF(N12&lt;=Parameters!$C$10,1,0)</f>
        <v>1</v>
      </c>
      <c r="P12" s="55">
        <f t="shared" si="23"/>
        <v>210.10526315789468</v>
      </c>
      <c r="Q12" s="55">
        <f>Parameters!$C$35*O12</f>
        <v>2.6842105263157738</v>
      </c>
      <c r="R12" s="55">
        <f>ROUND((Q12+P12)*Parameters!$E$23,0)</f>
        <v>1</v>
      </c>
      <c r="S12" s="55">
        <f t="shared" si="9"/>
        <v>211.78947368421046</v>
      </c>
      <c r="T12" s="55">
        <f t="shared" si="10"/>
        <v>210.10526315789468</v>
      </c>
      <c r="U12" s="55">
        <f t="shared" si="11"/>
        <v>211.78947368421046</v>
      </c>
      <c r="V12" s="26">
        <f t="shared" si="12"/>
        <v>0</v>
      </c>
      <c r="W12" s="26">
        <f t="shared" si="13"/>
        <v>1.6842105263157805</v>
      </c>
      <c r="X12" s="12" t="b">
        <f t="shared" si="14"/>
        <v>1</v>
      </c>
      <c r="Z12" s="3">
        <f t="shared" si="15"/>
        <v>7</v>
      </c>
      <c r="AA12" s="27">
        <f>Parameters!$C$7</f>
        <v>2500</v>
      </c>
      <c r="AB12" s="26">
        <f t="shared" si="16"/>
        <v>1964</v>
      </c>
      <c r="AC12" s="26">
        <f t="shared" si="17"/>
        <v>210.10526315789468</v>
      </c>
      <c r="AD12" s="26">
        <f t="shared" si="18"/>
        <v>325.89473684210532</v>
      </c>
      <c r="AE12" s="26">
        <f t="shared" si="0"/>
        <v>6</v>
      </c>
      <c r="AF12" s="26">
        <f t="shared" si="0"/>
        <v>1.6842105263157805</v>
      </c>
      <c r="AG12" s="26">
        <f t="shared" si="19"/>
        <v>330.21052631578954</v>
      </c>
      <c r="AH12" s="28">
        <f t="shared" si="20"/>
        <v>0</v>
      </c>
      <c r="AJ12" s="26">
        <f>IF(AG12&gt;=0,AF12*Parameters!$C$25,MAX(AD12+AE12,0)*Parameters!$C$25)</f>
        <v>84210.526315789029</v>
      </c>
      <c r="AK12" s="26">
        <f>IF(AG12&lt;0,-AG12*Parameters!$C$27,0)</f>
        <v>0</v>
      </c>
      <c r="AL12" s="26">
        <f>MAX(AG12,0)*Parameters!$C$26</f>
        <v>4953157.8947368432</v>
      </c>
      <c r="AM12" s="29">
        <f t="shared" si="1"/>
        <v>5037368.4210526319</v>
      </c>
    </row>
    <row r="13" spans="2:39" x14ac:dyDescent="0.25">
      <c r="B13" s="3">
        <f t="shared" si="21"/>
        <v>8</v>
      </c>
      <c r="C13" s="3">
        <f>IF(B13&lt;=Parameters!$C$9,1,2)</f>
        <v>1</v>
      </c>
      <c r="D13" s="26">
        <f t="shared" si="22"/>
        <v>1958</v>
      </c>
      <c r="E13" s="26">
        <f>ROUND(D13*IF(C13=1,Parameters!$E$13,Parameters!$E$14),0)</f>
        <v>13</v>
      </c>
      <c r="F13" s="26">
        <f>ROUND((E13+D13)*IF(C13=1,Parameters!$E$17,Parameters!$E$18),0)</f>
        <v>19</v>
      </c>
      <c r="G13" s="26">
        <f t="shared" si="2"/>
        <v>1952</v>
      </c>
      <c r="H13" s="26">
        <f t="shared" si="3"/>
        <v>1958</v>
      </c>
      <c r="I13" s="26">
        <f t="shared" si="4"/>
        <v>1952</v>
      </c>
      <c r="J13" s="26">
        <f t="shared" si="5"/>
        <v>6</v>
      </c>
      <c r="K13" s="26">
        <f t="shared" si="6"/>
        <v>0</v>
      </c>
      <c r="L13" s="12" t="b">
        <f t="shared" si="7"/>
        <v>1</v>
      </c>
      <c r="N13" s="3">
        <f t="shared" si="8"/>
        <v>8</v>
      </c>
      <c r="O13" s="10">
        <f>IF(N13&lt;=Parameters!$C$10,1,0)</f>
        <v>1</v>
      </c>
      <c r="P13" s="55">
        <f t="shared" si="23"/>
        <v>211.78947368421046</v>
      </c>
      <c r="Q13" s="55">
        <f>Parameters!$C$35*O13</f>
        <v>2.6842105263157738</v>
      </c>
      <c r="R13" s="55">
        <f>ROUND((Q13+P13)*Parameters!$E$23,0)</f>
        <v>1</v>
      </c>
      <c r="S13" s="55">
        <f t="shared" si="9"/>
        <v>213.47368421052624</v>
      </c>
      <c r="T13" s="55">
        <f t="shared" si="10"/>
        <v>211.78947368421046</v>
      </c>
      <c r="U13" s="55">
        <f t="shared" si="11"/>
        <v>213.47368421052624</v>
      </c>
      <c r="V13" s="26">
        <f t="shared" si="12"/>
        <v>0</v>
      </c>
      <c r="W13" s="26">
        <f t="shared" si="13"/>
        <v>1.6842105263157805</v>
      </c>
      <c r="X13" s="12" t="b">
        <f t="shared" si="14"/>
        <v>1</v>
      </c>
      <c r="Z13" s="3">
        <f t="shared" si="15"/>
        <v>8</v>
      </c>
      <c r="AA13" s="27">
        <f>Parameters!$C$7</f>
        <v>2500</v>
      </c>
      <c r="AB13" s="26">
        <f t="shared" si="16"/>
        <v>1958</v>
      </c>
      <c r="AC13" s="26">
        <f t="shared" si="17"/>
        <v>211.78947368421046</v>
      </c>
      <c r="AD13" s="26">
        <f t="shared" si="18"/>
        <v>330.21052631578954</v>
      </c>
      <c r="AE13" s="26">
        <f t="shared" si="0"/>
        <v>6</v>
      </c>
      <c r="AF13" s="26">
        <f t="shared" si="0"/>
        <v>1.6842105263157805</v>
      </c>
      <c r="AG13" s="26">
        <f t="shared" si="19"/>
        <v>334.52631578947376</v>
      </c>
      <c r="AH13" s="28">
        <f t="shared" si="20"/>
        <v>0</v>
      </c>
      <c r="AJ13" s="26">
        <f>IF(AG13&gt;=0,AF13*Parameters!$C$25,MAX(AD13+AE13,0)*Parameters!$C$25)</f>
        <v>84210.526315789029</v>
      </c>
      <c r="AK13" s="26">
        <f>IF(AG13&lt;0,-AG13*Parameters!$C$27,0)</f>
        <v>0</v>
      </c>
      <c r="AL13" s="26">
        <f>MAX(AG13,0)*Parameters!$C$26</f>
        <v>5017894.7368421061</v>
      </c>
      <c r="AM13" s="29">
        <f t="shared" si="1"/>
        <v>5102105.2631578948</v>
      </c>
    </row>
    <row r="14" spans="2:39" x14ac:dyDescent="0.25">
      <c r="B14" s="3">
        <f t="shared" si="21"/>
        <v>9</v>
      </c>
      <c r="C14" s="3">
        <f>IF(B14&lt;=Parameters!$C$9,1,2)</f>
        <v>1</v>
      </c>
      <c r="D14" s="26">
        <f t="shared" si="22"/>
        <v>1952</v>
      </c>
      <c r="E14" s="26">
        <f>ROUND(D14*IF(C14=1,Parameters!$E$13,Parameters!$E$14),0)</f>
        <v>13</v>
      </c>
      <c r="F14" s="26">
        <f>ROUND((E14+D14)*IF(C14=1,Parameters!$E$17,Parameters!$E$18),0)</f>
        <v>19</v>
      </c>
      <c r="G14" s="26">
        <f t="shared" si="2"/>
        <v>1946</v>
      </c>
      <c r="H14" s="26">
        <f t="shared" si="3"/>
        <v>1952</v>
      </c>
      <c r="I14" s="26">
        <f t="shared" si="4"/>
        <v>1946</v>
      </c>
      <c r="J14" s="26">
        <f t="shared" si="5"/>
        <v>6</v>
      </c>
      <c r="K14" s="26">
        <f t="shared" si="6"/>
        <v>0</v>
      </c>
      <c r="L14" s="12" t="b">
        <f t="shared" si="7"/>
        <v>1</v>
      </c>
      <c r="N14" s="3">
        <f t="shared" si="8"/>
        <v>9</v>
      </c>
      <c r="O14" s="10">
        <f>IF(N14&lt;=Parameters!$C$10,1,0)</f>
        <v>1</v>
      </c>
      <c r="P14" s="55">
        <f t="shared" si="23"/>
        <v>213.47368421052624</v>
      </c>
      <c r="Q14" s="55">
        <f>Parameters!$C$35*O14</f>
        <v>2.6842105263157738</v>
      </c>
      <c r="R14" s="55">
        <f>ROUND((Q14+P14)*Parameters!$E$23,0)</f>
        <v>1</v>
      </c>
      <c r="S14" s="55">
        <f t="shared" si="9"/>
        <v>215.15789473684202</v>
      </c>
      <c r="T14" s="55">
        <f t="shared" si="10"/>
        <v>213.47368421052624</v>
      </c>
      <c r="U14" s="55">
        <f t="shared" si="11"/>
        <v>215.15789473684202</v>
      </c>
      <c r="V14" s="26">
        <f t="shared" si="12"/>
        <v>0</v>
      </c>
      <c r="W14" s="26">
        <f t="shared" si="13"/>
        <v>1.6842105263157805</v>
      </c>
      <c r="X14" s="12" t="b">
        <f t="shared" si="14"/>
        <v>1</v>
      </c>
      <c r="Z14" s="3">
        <f t="shared" si="15"/>
        <v>9</v>
      </c>
      <c r="AA14" s="27">
        <f>Parameters!$C$7</f>
        <v>2500</v>
      </c>
      <c r="AB14" s="26">
        <f t="shared" si="16"/>
        <v>1952</v>
      </c>
      <c r="AC14" s="26">
        <f t="shared" si="17"/>
        <v>213.47368421052624</v>
      </c>
      <c r="AD14" s="26">
        <f t="shared" si="18"/>
        <v>334.52631578947376</v>
      </c>
      <c r="AE14" s="26">
        <f t="shared" si="0"/>
        <v>6</v>
      </c>
      <c r="AF14" s="26">
        <f t="shared" si="0"/>
        <v>1.6842105263157805</v>
      </c>
      <c r="AG14" s="26">
        <f t="shared" si="19"/>
        <v>338.84210526315798</v>
      </c>
      <c r="AH14" s="28">
        <f t="shared" si="20"/>
        <v>0</v>
      </c>
      <c r="AJ14" s="26">
        <f>IF(AG14&gt;=0,AF14*Parameters!$C$25,MAX(AD14+AE14,0)*Parameters!$C$25)</f>
        <v>84210.526315789029</v>
      </c>
      <c r="AK14" s="26">
        <f>IF(AG14&lt;0,-AG14*Parameters!$C$27,0)</f>
        <v>0</v>
      </c>
      <c r="AL14" s="26">
        <f>MAX(AG14,0)*Parameters!$C$26</f>
        <v>5082631.5789473699</v>
      </c>
      <c r="AM14" s="29">
        <f t="shared" si="1"/>
        <v>5166842.1052631587</v>
      </c>
    </row>
    <row r="15" spans="2:39" x14ac:dyDescent="0.25">
      <c r="B15" s="3">
        <f t="shared" si="21"/>
        <v>10</v>
      </c>
      <c r="C15" s="3">
        <f>IF(B15&lt;=Parameters!$C$9,1,2)</f>
        <v>1</v>
      </c>
      <c r="D15" s="26">
        <f t="shared" si="22"/>
        <v>1946</v>
      </c>
      <c r="E15" s="26">
        <f>ROUND(D15*IF(C15=1,Parameters!$E$13,Parameters!$E$14),0)</f>
        <v>13</v>
      </c>
      <c r="F15" s="26">
        <f>ROUND((E15+D15)*IF(C15=1,Parameters!$E$17,Parameters!$E$18),0)</f>
        <v>19</v>
      </c>
      <c r="G15" s="26">
        <f t="shared" si="2"/>
        <v>1940</v>
      </c>
      <c r="H15" s="26">
        <f t="shared" si="3"/>
        <v>1946</v>
      </c>
      <c r="I15" s="26">
        <f t="shared" si="4"/>
        <v>1940</v>
      </c>
      <c r="J15" s="26">
        <f t="shared" si="5"/>
        <v>6</v>
      </c>
      <c r="K15" s="26">
        <f t="shared" si="6"/>
        <v>0</v>
      </c>
      <c r="L15" s="12" t="b">
        <f t="shared" si="7"/>
        <v>1</v>
      </c>
      <c r="N15" s="3">
        <f t="shared" si="8"/>
        <v>10</v>
      </c>
      <c r="O15" s="10">
        <f>IF(N15&lt;=Parameters!$C$10,1,0)</f>
        <v>1</v>
      </c>
      <c r="P15" s="55">
        <f t="shared" si="23"/>
        <v>215.15789473684202</v>
      </c>
      <c r="Q15" s="55">
        <f>Parameters!$C$35*O15</f>
        <v>2.6842105263157738</v>
      </c>
      <c r="R15" s="55">
        <f>ROUND((Q15+P15)*Parameters!$E$23,0)</f>
        <v>1</v>
      </c>
      <c r="S15" s="55">
        <f t="shared" si="9"/>
        <v>216.8421052631578</v>
      </c>
      <c r="T15" s="55">
        <f t="shared" si="10"/>
        <v>215.15789473684202</v>
      </c>
      <c r="U15" s="55">
        <f t="shared" si="11"/>
        <v>216.8421052631578</v>
      </c>
      <c r="V15" s="26">
        <f t="shared" si="12"/>
        <v>0</v>
      </c>
      <c r="W15" s="26">
        <f t="shared" si="13"/>
        <v>1.6842105263157805</v>
      </c>
      <c r="X15" s="12" t="b">
        <f t="shared" si="14"/>
        <v>1</v>
      </c>
      <c r="Z15" s="3">
        <f t="shared" si="15"/>
        <v>10</v>
      </c>
      <c r="AA15" s="27">
        <f>Parameters!$C$7</f>
        <v>2500</v>
      </c>
      <c r="AB15" s="26">
        <f t="shared" si="16"/>
        <v>1946</v>
      </c>
      <c r="AC15" s="26">
        <f t="shared" si="17"/>
        <v>215.15789473684202</v>
      </c>
      <c r="AD15" s="26">
        <f t="shared" si="18"/>
        <v>338.84210526315798</v>
      </c>
      <c r="AE15" s="26">
        <f t="shared" si="0"/>
        <v>6</v>
      </c>
      <c r="AF15" s="26">
        <f t="shared" si="0"/>
        <v>1.6842105263157805</v>
      </c>
      <c r="AG15" s="26">
        <f t="shared" si="19"/>
        <v>343.1578947368422</v>
      </c>
      <c r="AH15" s="28">
        <f t="shared" si="20"/>
        <v>0</v>
      </c>
      <c r="AJ15" s="26">
        <f>IF(AG15&gt;=0,AF15*Parameters!$C$25,MAX(AD15+AE15,0)*Parameters!$C$25)</f>
        <v>84210.526315789029</v>
      </c>
      <c r="AK15" s="26">
        <f>IF(AG15&lt;0,-AG15*Parameters!$C$27,0)</f>
        <v>0</v>
      </c>
      <c r="AL15" s="26">
        <f>MAX(AG15,0)*Parameters!$C$26</f>
        <v>5147368.4210526329</v>
      </c>
      <c r="AM15" s="29">
        <f t="shared" si="1"/>
        <v>5231578.9473684216</v>
      </c>
    </row>
    <row r="16" spans="2:39" x14ac:dyDescent="0.25">
      <c r="B16" s="3">
        <f t="shared" si="21"/>
        <v>11</v>
      </c>
      <c r="C16" s="3">
        <f>IF(B16&lt;=Parameters!$C$9,1,2)</f>
        <v>1</v>
      </c>
      <c r="D16" s="26">
        <f t="shared" si="22"/>
        <v>1940</v>
      </c>
      <c r="E16" s="26">
        <f>ROUND(D16*IF(C16=1,Parameters!$E$13,Parameters!$E$14),0)</f>
        <v>12</v>
      </c>
      <c r="F16" s="26">
        <f>ROUND((E16+D16)*IF(C16=1,Parameters!$E$17,Parameters!$E$18),0)</f>
        <v>19</v>
      </c>
      <c r="G16" s="26">
        <f t="shared" si="2"/>
        <v>1933</v>
      </c>
      <c r="H16" s="26">
        <f t="shared" si="3"/>
        <v>1940</v>
      </c>
      <c r="I16" s="26">
        <f t="shared" si="4"/>
        <v>1933</v>
      </c>
      <c r="J16" s="26">
        <f t="shared" si="5"/>
        <v>7</v>
      </c>
      <c r="K16" s="26">
        <f t="shared" si="6"/>
        <v>0</v>
      </c>
      <c r="L16" s="12" t="b">
        <f t="shared" si="7"/>
        <v>1</v>
      </c>
      <c r="N16" s="3">
        <f t="shared" si="8"/>
        <v>11</v>
      </c>
      <c r="O16" s="10">
        <f>IF(N16&lt;=Parameters!$C$10,1,0)</f>
        <v>1</v>
      </c>
      <c r="P16" s="55">
        <f t="shared" si="23"/>
        <v>216.8421052631578</v>
      </c>
      <c r="Q16" s="55">
        <f>Parameters!$C$35*O16</f>
        <v>2.6842105263157738</v>
      </c>
      <c r="R16" s="55">
        <f>ROUND((Q16+P16)*Parameters!$E$23,0)</f>
        <v>1</v>
      </c>
      <c r="S16" s="55">
        <f t="shared" si="9"/>
        <v>218.52631578947359</v>
      </c>
      <c r="T16" s="55">
        <f t="shared" si="10"/>
        <v>216.8421052631578</v>
      </c>
      <c r="U16" s="55">
        <f t="shared" si="11"/>
        <v>218.52631578947359</v>
      </c>
      <c r="V16" s="26">
        <f t="shared" si="12"/>
        <v>0</v>
      </c>
      <c r="W16" s="26">
        <f t="shared" si="13"/>
        <v>1.6842105263157805</v>
      </c>
      <c r="X16" s="12" t="b">
        <f t="shared" si="14"/>
        <v>1</v>
      </c>
      <c r="Z16" s="3">
        <f t="shared" si="15"/>
        <v>11</v>
      </c>
      <c r="AA16" s="27">
        <f>Parameters!$C$7</f>
        <v>2500</v>
      </c>
      <c r="AB16" s="26">
        <f t="shared" si="16"/>
        <v>1940</v>
      </c>
      <c r="AC16" s="26">
        <f t="shared" si="17"/>
        <v>216.8421052631578</v>
      </c>
      <c r="AD16" s="26">
        <f t="shared" si="18"/>
        <v>343.1578947368422</v>
      </c>
      <c r="AE16" s="26">
        <f t="shared" si="0"/>
        <v>7</v>
      </c>
      <c r="AF16" s="26">
        <f t="shared" si="0"/>
        <v>1.6842105263157805</v>
      </c>
      <c r="AG16" s="26">
        <f t="shared" si="19"/>
        <v>348.47368421052641</v>
      </c>
      <c r="AH16" s="28">
        <f t="shared" si="20"/>
        <v>0</v>
      </c>
      <c r="AJ16" s="26">
        <f>IF(AG16&gt;=0,AF16*Parameters!$C$25,MAX(AD16+AE16,0)*Parameters!$C$25)</f>
        <v>84210.526315789029</v>
      </c>
      <c r="AK16" s="26">
        <f>IF(AG16&lt;0,-AG16*Parameters!$C$27,0)</f>
        <v>0</v>
      </c>
      <c r="AL16" s="26">
        <f>MAX(AG16,0)*Parameters!$C$26</f>
        <v>5227105.2631578958</v>
      </c>
      <c r="AM16" s="29">
        <f t="shared" si="1"/>
        <v>5311315.7894736845</v>
      </c>
    </row>
    <row r="17" spans="2:39" x14ac:dyDescent="0.25">
      <c r="B17" s="3">
        <f t="shared" si="21"/>
        <v>12</v>
      </c>
      <c r="C17" s="3">
        <f>IF(B17&lt;=Parameters!$C$9,1,2)</f>
        <v>1</v>
      </c>
      <c r="D17" s="26">
        <f t="shared" si="22"/>
        <v>1933</v>
      </c>
      <c r="E17" s="26">
        <f>ROUND(D17*IF(C17=1,Parameters!$E$13,Parameters!$E$14),0)</f>
        <v>12</v>
      </c>
      <c r="F17" s="26">
        <f>ROUND((E17+D17)*IF(C17=1,Parameters!$E$17,Parameters!$E$18),0)</f>
        <v>18</v>
      </c>
      <c r="G17" s="26">
        <f t="shared" si="2"/>
        <v>1927</v>
      </c>
      <c r="H17" s="26">
        <f t="shared" si="3"/>
        <v>1933</v>
      </c>
      <c r="I17" s="26">
        <f t="shared" si="4"/>
        <v>1927</v>
      </c>
      <c r="J17" s="26">
        <f t="shared" si="5"/>
        <v>6</v>
      </c>
      <c r="K17" s="26">
        <f t="shared" si="6"/>
        <v>0</v>
      </c>
      <c r="L17" s="12" t="b">
        <f t="shared" si="7"/>
        <v>1</v>
      </c>
      <c r="N17" s="3">
        <f t="shared" si="8"/>
        <v>12</v>
      </c>
      <c r="O17" s="10">
        <f>IF(N17&lt;=Parameters!$C$10,1,0)</f>
        <v>1</v>
      </c>
      <c r="P17" s="55">
        <f t="shared" si="23"/>
        <v>218.52631578947359</v>
      </c>
      <c r="Q17" s="55">
        <f>Parameters!$C$35*O17</f>
        <v>2.6842105263157738</v>
      </c>
      <c r="R17" s="55">
        <f>ROUND((Q17+P17)*Parameters!$E$23,0)</f>
        <v>1</v>
      </c>
      <c r="S17" s="55">
        <f t="shared" si="9"/>
        <v>220.21052631578937</v>
      </c>
      <c r="T17" s="55">
        <f t="shared" si="10"/>
        <v>218.52631578947359</v>
      </c>
      <c r="U17" s="55">
        <f t="shared" si="11"/>
        <v>220.21052631578937</v>
      </c>
      <c r="V17" s="26">
        <f t="shared" si="12"/>
        <v>0</v>
      </c>
      <c r="W17" s="26">
        <f t="shared" si="13"/>
        <v>1.6842105263157805</v>
      </c>
      <c r="X17" s="12" t="b">
        <f t="shared" si="14"/>
        <v>1</v>
      </c>
      <c r="Z17" s="3">
        <f t="shared" si="15"/>
        <v>12</v>
      </c>
      <c r="AA17" s="27">
        <f>Parameters!$C$7</f>
        <v>2500</v>
      </c>
      <c r="AB17" s="26">
        <f t="shared" si="16"/>
        <v>1933</v>
      </c>
      <c r="AC17" s="26">
        <f t="shared" si="17"/>
        <v>218.52631578947359</v>
      </c>
      <c r="AD17" s="26">
        <f t="shared" si="18"/>
        <v>348.47368421052641</v>
      </c>
      <c r="AE17" s="26">
        <f t="shared" si="0"/>
        <v>6</v>
      </c>
      <c r="AF17" s="26">
        <f t="shared" si="0"/>
        <v>1.6842105263157805</v>
      </c>
      <c r="AG17" s="26">
        <f t="shared" si="19"/>
        <v>352.78947368421063</v>
      </c>
      <c r="AH17" s="28">
        <f t="shared" si="20"/>
        <v>0</v>
      </c>
      <c r="AJ17" s="26">
        <f>IF(AG17&gt;=0,AF17*Parameters!$C$25,MAX(AD17+AE17,0)*Parameters!$C$25)</f>
        <v>84210.526315789029</v>
      </c>
      <c r="AK17" s="26">
        <f>IF(AG17&lt;0,-AG17*Parameters!$C$27,0)</f>
        <v>0</v>
      </c>
      <c r="AL17" s="26">
        <f>MAX(AG17,0)*Parameters!$C$26</f>
        <v>5291842.1052631596</v>
      </c>
      <c r="AM17" s="29">
        <f t="shared" si="1"/>
        <v>5376052.6315789483</v>
      </c>
    </row>
    <row r="18" spans="2:39" x14ac:dyDescent="0.25">
      <c r="B18" s="3">
        <f t="shared" si="21"/>
        <v>13</v>
      </c>
      <c r="C18" s="3">
        <f>IF(B18&lt;=Parameters!$C$9,1,2)</f>
        <v>1</v>
      </c>
      <c r="D18" s="26">
        <f t="shared" si="22"/>
        <v>1927</v>
      </c>
      <c r="E18" s="26">
        <f>ROUND(D18*IF(C18=1,Parameters!$E$13,Parameters!$E$14),0)</f>
        <v>12</v>
      </c>
      <c r="F18" s="26">
        <f>ROUND((E18+D18)*IF(C18=1,Parameters!$E$17,Parameters!$E$18),0)</f>
        <v>18</v>
      </c>
      <c r="G18" s="26">
        <f t="shared" si="2"/>
        <v>1921</v>
      </c>
      <c r="H18" s="26">
        <f t="shared" si="3"/>
        <v>1927</v>
      </c>
      <c r="I18" s="26">
        <f t="shared" si="4"/>
        <v>1921</v>
      </c>
      <c r="J18" s="26">
        <f t="shared" si="5"/>
        <v>6</v>
      </c>
      <c r="K18" s="26">
        <f t="shared" si="6"/>
        <v>0</v>
      </c>
      <c r="L18" s="12" t="b">
        <f t="shared" si="7"/>
        <v>1</v>
      </c>
      <c r="N18" s="3">
        <f t="shared" si="8"/>
        <v>13</v>
      </c>
      <c r="O18" s="10">
        <f>IF(N18&lt;=Parameters!$C$10,1,0)</f>
        <v>1</v>
      </c>
      <c r="P18" s="55">
        <f t="shared" si="23"/>
        <v>220.21052631578937</v>
      </c>
      <c r="Q18" s="55">
        <f>Parameters!$C$35*O18</f>
        <v>2.6842105263157738</v>
      </c>
      <c r="R18" s="55">
        <f>ROUND((Q18+P18)*Parameters!$E$23,0)</f>
        <v>1</v>
      </c>
      <c r="S18" s="55">
        <f t="shared" si="9"/>
        <v>221.89473684210515</v>
      </c>
      <c r="T18" s="55">
        <f t="shared" si="10"/>
        <v>220.21052631578937</v>
      </c>
      <c r="U18" s="55">
        <f t="shared" si="11"/>
        <v>221.89473684210515</v>
      </c>
      <c r="V18" s="26">
        <f t="shared" si="12"/>
        <v>0</v>
      </c>
      <c r="W18" s="26">
        <f t="shared" si="13"/>
        <v>1.6842105263157805</v>
      </c>
      <c r="X18" s="12" t="b">
        <f t="shared" si="14"/>
        <v>1</v>
      </c>
      <c r="Z18" s="3">
        <f t="shared" si="15"/>
        <v>13</v>
      </c>
      <c r="AA18" s="27">
        <f>Parameters!$C$7</f>
        <v>2500</v>
      </c>
      <c r="AB18" s="26">
        <f t="shared" si="16"/>
        <v>1927</v>
      </c>
      <c r="AC18" s="26">
        <f t="shared" si="17"/>
        <v>220.21052631578937</v>
      </c>
      <c r="AD18" s="26">
        <f t="shared" si="18"/>
        <v>352.78947368421063</v>
      </c>
      <c r="AE18" s="26">
        <f t="shared" si="0"/>
        <v>6</v>
      </c>
      <c r="AF18" s="26">
        <f t="shared" si="0"/>
        <v>1.6842105263157805</v>
      </c>
      <c r="AG18" s="26">
        <f t="shared" si="19"/>
        <v>357.10526315789485</v>
      </c>
      <c r="AH18" s="28">
        <f t="shared" si="20"/>
        <v>0</v>
      </c>
      <c r="AJ18" s="26">
        <f>IF(AG18&gt;=0,AF18*Parameters!$C$25,MAX(AD18+AE18,0)*Parameters!$C$25)</f>
        <v>84210.526315789029</v>
      </c>
      <c r="AK18" s="26">
        <f>IF(AG18&lt;0,-AG18*Parameters!$C$27,0)</f>
        <v>0</v>
      </c>
      <c r="AL18" s="26">
        <f>MAX(AG18,0)*Parameters!$C$26</f>
        <v>5356578.9473684225</v>
      </c>
      <c r="AM18" s="29">
        <f t="shared" si="1"/>
        <v>5440789.4736842113</v>
      </c>
    </row>
    <row r="19" spans="2:39" x14ac:dyDescent="0.25">
      <c r="B19" s="3">
        <f t="shared" si="21"/>
        <v>14</v>
      </c>
      <c r="C19" s="3">
        <f>IF(B19&lt;=Parameters!$C$9,1,2)</f>
        <v>1</v>
      </c>
      <c r="D19" s="26">
        <f t="shared" si="22"/>
        <v>1921</v>
      </c>
      <c r="E19" s="26">
        <f>ROUND(D19*IF(C19=1,Parameters!$E$13,Parameters!$E$14),0)</f>
        <v>12</v>
      </c>
      <c r="F19" s="26">
        <f>ROUND((E19+D19)*IF(C19=1,Parameters!$E$17,Parameters!$E$18),0)</f>
        <v>18</v>
      </c>
      <c r="G19" s="26">
        <f t="shared" si="2"/>
        <v>1915</v>
      </c>
      <c r="H19" s="26">
        <f t="shared" si="3"/>
        <v>1921</v>
      </c>
      <c r="I19" s="26">
        <f t="shared" si="4"/>
        <v>1915</v>
      </c>
      <c r="J19" s="26">
        <f t="shared" si="5"/>
        <v>6</v>
      </c>
      <c r="K19" s="26">
        <f t="shared" si="6"/>
        <v>0</v>
      </c>
      <c r="L19" s="12" t="b">
        <f t="shared" si="7"/>
        <v>1</v>
      </c>
      <c r="N19" s="3">
        <f t="shared" si="8"/>
        <v>14</v>
      </c>
      <c r="O19" s="10">
        <f>IF(N19&lt;=Parameters!$C$10,1,0)</f>
        <v>1</v>
      </c>
      <c r="P19" s="55">
        <f t="shared" si="23"/>
        <v>221.89473684210515</v>
      </c>
      <c r="Q19" s="55">
        <f>Parameters!$C$35*O19</f>
        <v>2.6842105263157738</v>
      </c>
      <c r="R19" s="55">
        <f>ROUND((Q19+P19)*Parameters!$E$23,0)</f>
        <v>1</v>
      </c>
      <c r="S19" s="55">
        <f t="shared" si="9"/>
        <v>223.57894736842093</v>
      </c>
      <c r="T19" s="55">
        <f t="shared" si="10"/>
        <v>221.89473684210515</v>
      </c>
      <c r="U19" s="55">
        <f t="shared" si="11"/>
        <v>223.57894736842093</v>
      </c>
      <c r="V19" s="26">
        <f t="shared" si="12"/>
        <v>0</v>
      </c>
      <c r="W19" s="26">
        <f t="shared" si="13"/>
        <v>1.6842105263157805</v>
      </c>
      <c r="X19" s="12" t="b">
        <f t="shared" si="14"/>
        <v>1</v>
      </c>
      <c r="Z19" s="3">
        <f t="shared" si="15"/>
        <v>14</v>
      </c>
      <c r="AA19" s="27">
        <f>Parameters!$C$7</f>
        <v>2500</v>
      </c>
      <c r="AB19" s="26">
        <f t="shared" si="16"/>
        <v>1921</v>
      </c>
      <c r="AC19" s="26">
        <f t="shared" si="17"/>
        <v>221.89473684210515</v>
      </c>
      <c r="AD19" s="26">
        <f t="shared" si="18"/>
        <v>357.10526315789485</v>
      </c>
      <c r="AE19" s="26">
        <f t="shared" si="0"/>
        <v>6</v>
      </c>
      <c r="AF19" s="26">
        <f t="shared" si="0"/>
        <v>1.6842105263157805</v>
      </c>
      <c r="AG19" s="26">
        <f t="shared" si="19"/>
        <v>361.42105263157907</v>
      </c>
      <c r="AH19" s="28">
        <f t="shared" si="20"/>
        <v>0</v>
      </c>
      <c r="AJ19" s="26">
        <f>IF(AG19&gt;=0,AF19*Parameters!$C$25,MAX(AD19+AE19,0)*Parameters!$C$25)</f>
        <v>84210.526315789029</v>
      </c>
      <c r="AK19" s="26">
        <f>IF(AG19&lt;0,-AG19*Parameters!$C$27,0)</f>
        <v>0</v>
      </c>
      <c r="AL19" s="26">
        <f>MAX(AG19,0)*Parameters!$C$26</f>
        <v>5421315.7894736864</v>
      </c>
      <c r="AM19" s="29">
        <f t="shared" si="1"/>
        <v>5505526.3157894751</v>
      </c>
    </row>
    <row r="20" spans="2:39" x14ac:dyDescent="0.25">
      <c r="B20" s="3">
        <f t="shared" si="21"/>
        <v>15</v>
      </c>
      <c r="C20" s="3">
        <f>IF(B20&lt;=Parameters!$C$9,1,2)</f>
        <v>1</v>
      </c>
      <c r="D20" s="26">
        <f t="shared" si="22"/>
        <v>1915</v>
      </c>
      <c r="E20" s="26">
        <f>ROUND(D20*IF(C20=1,Parameters!$E$13,Parameters!$E$14),0)</f>
        <v>12</v>
      </c>
      <c r="F20" s="26">
        <f>ROUND((E20+D20)*IF(C20=1,Parameters!$E$17,Parameters!$E$18),0)</f>
        <v>18</v>
      </c>
      <c r="G20" s="26">
        <f t="shared" si="2"/>
        <v>1909</v>
      </c>
      <c r="H20" s="26">
        <f t="shared" si="3"/>
        <v>1915</v>
      </c>
      <c r="I20" s="26">
        <f t="shared" si="4"/>
        <v>1909</v>
      </c>
      <c r="J20" s="26">
        <f t="shared" si="5"/>
        <v>6</v>
      </c>
      <c r="K20" s="26">
        <f t="shared" si="6"/>
        <v>0</v>
      </c>
      <c r="L20" s="12" t="b">
        <f t="shared" si="7"/>
        <v>1</v>
      </c>
      <c r="N20" s="3">
        <f t="shared" si="8"/>
        <v>15</v>
      </c>
      <c r="O20" s="10">
        <f>IF(N20&lt;=Parameters!$C$10,1,0)</f>
        <v>1</v>
      </c>
      <c r="P20" s="55">
        <f t="shared" si="23"/>
        <v>223.57894736842093</v>
      </c>
      <c r="Q20" s="55">
        <f>Parameters!$C$35*O20</f>
        <v>2.6842105263157738</v>
      </c>
      <c r="R20" s="55">
        <f>ROUND((Q20+P20)*Parameters!$E$23,0)</f>
        <v>1</v>
      </c>
      <c r="S20" s="55">
        <f t="shared" si="9"/>
        <v>225.26315789473671</v>
      </c>
      <c r="T20" s="55">
        <f t="shared" si="10"/>
        <v>223.57894736842093</v>
      </c>
      <c r="U20" s="55">
        <f t="shared" si="11"/>
        <v>225.26315789473671</v>
      </c>
      <c r="V20" s="26">
        <f t="shared" si="12"/>
        <v>0</v>
      </c>
      <c r="W20" s="26">
        <f t="shared" si="13"/>
        <v>1.6842105263157805</v>
      </c>
      <c r="X20" s="12" t="b">
        <f t="shared" si="14"/>
        <v>1</v>
      </c>
      <c r="Z20" s="3">
        <f t="shared" si="15"/>
        <v>15</v>
      </c>
      <c r="AA20" s="27">
        <f>Parameters!$C$7</f>
        <v>2500</v>
      </c>
      <c r="AB20" s="26">
        <f t="shared" si="16"/>
        <v>1915</v>
      </c>
      <c r="AC20" s="26">
        <f t="shared" si="17"/>
        <v>223.57894736842093</v>
      </c>
      <c r="AD20" s="26">
        <f t="shared" si="18"/>
        <v>361.42105263157907</v>
      </c>
      <c r="AE20" s="26">
        <f t="shared" si="0"/>
        <v>6</v>
      </c>
      <c r="AF20" s="26">
        <f t="shared" si="0"/>
        <v>1.6842105263157805</v>
      </c>
      <c r="AG20" s="26">
        <f t="shared" si="19"/>
        <v>365.73684210526329</v>
      </c>
      <c r="AH20" s="28">
        <f t="shared" si="20"/>
        <v>0</v>
      </c>
      <c r="AJ20" s="26">
        <f>IF(AG20&gt;=0,AF20*Parameters!$C$25,MAX(AD20+AE20,0)*Parameters!$C$25)</f>
        <v>84210.526315789029</v>
      </c>
      <c r="AK20" s="26">
        <f>IF(AG20&lt;0,-AG20*Parameters!$C$27,0)</f>
        <v>0</v>
      </c>
      <c r="AL20" s="26">
        <f>MAX(AG20,0)*Parameters!$C$26</f>
        <v>5486052.6315789493</v>
      </c>
      <c r="AM20" s="29">
        <f t="shared" si="1"/>
        <v>5570263.157894738</v>
      </c>
    </row>
    <row r="21" spans="2:39" x14ac:dyDescent="0.25">
      <c r="B21" s="3">
        <f t="shared" si="21"/>
        <v>16</v>
      </c>
      <c r="C21" s="3">
        <f>IF(B21&lt;=Parameters!$C$9,1,2)</f>
        <v>1</v>
      </c>
      <c r="D21" s="26">
        <f t="shared" si="22"/>
        <v>1909</v>
      </c>
      <c r="E21" s="26">
        <f>ROUND(D21*IF(C21=1,Parameters!$E$13,Parameters!$E$14),0)</f>
        <v>12</v>
      </c>
      <c r="F21" s="26">
        <f>ROUND((E21+D21)*IF(C21=1,Parameters!$E$17,Parameters!$E$18),0)</f>
        <v>18</v>
      </c>
      <c r="G21" s="26">
        <f t="shared" si="2"/>
        <v>1903</v>
      </c>
      <c r="H21" s="26">
        <f t="shared" si="3"/>
        <v>1909</v>
      </c>
      <c r="I21" s="26">
        <f t="shared" si="4"/>
        <v>1903</v>
      </c>
      <c r="J21" s="26">
        <f t="shared" si="5"/>
        <v>6</v>
      </c>
      <c r="K21" s="26">
        <f t="shared" si="6"/>
        <v>0</v>
      </c>
      <c r="L21" s="12" t="b">
        <f t="shared" si="7"/>
        <v>1</v>
      </c>
      <c r="N21" s="3">
        <f t="shared" si="8"/>
        <v>16</v>
      </c>
      <c r="O21" s="10">
        <f>IF(N21&lt;=Parameters!$C$10,1,0)</f>
        <v>1</v>
      </c>
      <c r="P21" s="55">
        <f t="shared" si="23"/>
        <v>225.26315789473671</v>
      </c>
      <c r="Q21" s="55">
        <f>Parameters!$C$35*O21</f>
        <v>2.6842105263157738</v>
      </c>
      <c r="R21" s="55">
        <f>ROUND((Q21+P21)*Parameters!$E$23,0)</f>
        <v>1</v>
      </c>
      <c r="S21" s="55">
        <f t="shared" si="9"/>
        <v>226.94736842105249</v>
      </c>
      <c r="T21" s="55">
        <f t="shared" si="10"/>
        <v>225.26315789473671</v>
      </c>
      <c r="U21" s="55">
        <f t="shared" si="11"/>
        <v>226.94736842105249</v>
      </c>
      <c r="V21" s="26">
        <f t="shared" si="12"/>
        <v>0</v>
      </c>
      <c r="W21" s="26">
        <f t="shared" si="13"/>
        <v>1.6842105263157805</v>
      </c>
      <c r="X21" s="12" t="b">
        <f t="shared" si="14"/>
        <v>1</v>
      </c>
      <c r="Z21" s="3">
        <f t="shared" si="15"/>
        <v>16</v>
      </c>
      <c r="AA21" s="27">
        <f>Parameters!$C$7</f>
        <v>2500</v>
      </c>
      <c r="AB21" s="26">
        <f t="shared" si="16"/>
        <v>1909</v>
      </c>
      <c r="AC21" s="26">
        <f t="shared" si="17"/>
        <v>225.26315789473671</v>
      </c>
      <c r="AD21" s="26">
        <f>AA21-AB21-AC21</f>
        <v>365.73684210526329</v>
      </c>
      <c r="AE21" s="26">
        <f t="shared" si="0"/>
        <v>6</v>
      </c>
      <c r="AF21" s="26">
        <f t="shared" si="0"/>
        <v>1.6842105263157805</v>
      </c>
      <c r="AG21" s="26">
        <f>AD21+AE21-AF21</f>
        <v>370.05263157894751</v>
      </c>
      <c r="AH21" s="28">
        <f t="shared" si="20"/>
        <v>0</v>
      </c>
      <c r="AJ21" s="26">
        <f>IF(AG21&gt;=0,AF21*Parameters!$C$25,MAX(AD21+AE21,0)*Parameters!$C$25)</f>
        <v>84210.526315789029</v>
      </c>
      <c r="AK21" s="26">
        <f>IF(AG21&lt;0,-AG21*Parameters!$C$27,0)</f>
        <v>0</v>
      </c>
      <c r="AL21" s="26">
        <f>MAX(AG21,0)*Parameters!$C$26</f>
        <v>5550789.4736842131</v>
      </c>
      <c r="AM21" s="29">
        <f t="shared" si="1"/>
        <v>5635000.0000000019</v>
      </c>
    </row>
    <row r="22" spans="2:39" x14ac:dyDescent="0.25">
      <c r="B22" s="3">
        <f t="shared" si="21"/>
        <v>17</v>
      </c>
      <c r="C22" s="3">
        <f>IF(B22&lt;=Parameters!$C$9,1,2)</f>
        <v>1</v>
      </c>
      <c r="D22" s="26">
        <f t="shared" si="22"/>
        <v>1903</v>
      </c>
      <c r="E22" s="26">
        <f>ROUND(D22*IF(C22=1,Parameters!$E$13,Parameters!$E$14),0)</f>
        <v>12</v>
      </c>
      <c r="F22" s="26">
        <f>ROUND((E22+D22)*IF(C22=1,Parameters!$E$17,Parameters!$E$18),0)</f>
        <v>18</v>
      </c>
      <c r="G22" s="26">
        <f t="shared" si="2"/>
        <v>1897</v>
      </c>
      <c r="H22" s="26">
        <f t="shared" si="3"/>
        <v>1903</v>
      </c>
      <c r="I22" s="26">
        <f t="shared" si="4"/>
        <v>1897</v>
      </c>
      <c r="J22" s="26">
        <f t="shared" si="5"/>
        <v>6</v>
      </c>
      <c r="K22" s="26">
        <f t="shared" si="6"/>
        <v>0</v>
      </c>
      <c r="L22" s="12" t="b">
        <f t="shared" si="7"/>
        <v>1</v>
      </c>
      <c r="N22" s="3">
        <f t="shared" si="8"/>
        <v>17</v>
      </c>
      <c r="O22" s="10">
        <f>IF(N22&lt;=Parameters!$C$10,1,0)</f>
        <v>1</v>
      </c>
      <c r="P22" s="55">
        <f t="shared" si="23"/>
        <v>226.94736842105249</v>
      </c>
      <c r="Q22" s="55">
        <f>Parameters!$C$35*O22</f>
        <v>2.6842105263157738</v>
      </c>
      <c r="R22" s="55">
        <f>ROUND((Q22+P22)*Parameters!$E$23,0)</f>
        <v>1</v>
      </c>
      <c r="S22" s="55">
        <f t="shared" si="9"/>
        <v>228.63157894736827</v>
      </c>
      <c r="T22" s="55">
        <f t="shared" si="10"/>
        <v>226.94736842105249</v>
      </c>
      <c r="U22" s="55">
        <f t="shared" si="11"/>
        <v>228.63157894736827</v>
      </c>
      <c r="V22" s="26">
        <f t="shared" si="12"/>
        <v>0</v>
      </c>
      <c r="W22" s="26">
        <f t="shared" si="13"/>
        <v>1.6842105263157805</v>
      </c>
      <c r="X22" s="12" t="b">
        <f t="shared" si="14"/>
        <v>1</v>
      </c>
      <c r="Z22" s="3">
        <f t="shared" si="15"/>
        <v>17</v>
      </c>
      <c r="AA22" s="27">
        <f>Parameters!$C$7</f>
        <v>2500</v>
      </c>
      <c r="AB22" s="26">
        <f t="shared" si="16"/>
        <v>1903</v>
      </c>
      <c r="AC22" s="26">
        <f t="shared" si="17"/>
        <v>226.94736842105249</v>
      </c>
      <c r="AD22" s="26">
        <f t="shared" si="18"/>
        <v>370.05263157894751</v>
      </c>
      <c r="AE22" s="26">
        <f t="shared" si="0"/>
        <v>6</v>
      </c>
      <c r="AF22" s="26">
        <f t="shared" si="0"/>
        <v>1.6842105263157805</v>
      </c>
      <c r="AG22" s="26">
        <f t="shared" si="19"/>
        <v>374.36842105263173</v>
      </c>
      <c r="AH22" s="28">
        <f t="shared" si="20"/>
        <v>0</v>
      </c>
      <c r="AJ22" s="26">
        <f>IF(AG22&gt;=0,AF22*Parameters!$C$25,MAX(AD22+AE22,0)*Parameters!$C$25)</f>
        <v>84210.526315789029</v>
      </c>
      <c r="AK22" s="26">
        <f>IF(AG22&lt;0,-AG22*Parameters!$C$27,0)</f>
        <v>0</v>
      </c>
      <c r="AL22" s="26">
        <f>MAX(AG22,0)*Parameters!$C$26</f>
        <v>5615526.315789476</v>
      </c>
      <c r="AM22" s="29">
        <f t="shared" si="1"/>
        <v>5699736.8421052648</v>
      </c>
    </row>
    <row r="23" spans="2:39" x14ac:dyDescent="0.25">
      <c r="B23" s="3">
        <f t="shared" si="21"/>
        <v>18</v>
      </c>
      <c r="C23" s="3">
        <f>IF(B23&lt;=Parameters!$C$9,1,2)</f>
        <v>1</v>
      </c>
      <c r="D23" s="26">
        <f t="shared" si="22"/>
        <v>1897</v>
      </c>
      <c r="E23" s="26">
        <f>ROUND(D23*IF(C23=1,Parameters!$E$13,Parameters!$E$14),0)</f>
        <v>12</v>
      </c>
      <c r="F23" s="26">
        <f>ROUND((E23+D23)*IF(C23=1,Parameters!$E$17,Parameters!$E$18),0)</f>
        <v>18</v>
      </c>
      <c r="G23" s="26">
        <f t="shared" si="2"/>
        <v>1891</v>
      </c>
      <c r="H23" s="26">
        <f t="shared" si="3"/>
        <v>1897</v>
      </c>
      <c r="I23" s="26">
        <f t="shared" si="4"/>
        <v>1891</v>
      </c>
      <c r="J23" s="26">
        <f t="shared" si="5"/>
        <v>6</v>
      </c>
      <c r="K23" s="26">
        <f t="shared" si="6"/>
        <v>0</v>
      </c>
      <c r="L23" s="12" t="b">
        <f t="shared" si="7"/>
        <v>1</v>
      </c>
      <c r="N23" s="3">
        <f t="shared" si="8"/>
        <v>18</v>
      </c>
      <c r="O23" s="10">
        <f>IF(N23&lt;=Parameters!$C$10,1,0)</f>
        <v>1</v>
      </c>
      <c r="P23" s="55">
        <f t="shared" si="23"/>
        <v>228.63157894736827</v>
      </c>
      <c r="Q23" s="55">
        <f>Parameters!$C$35*O23</f>
        <v>2.6842105263157738</v>
      </c>
      <c r="R23" s="55">
        <f>ROUND((Q23+P23)*Parameters!$E$23,0)</f>
        <v>1</v>
      </c>
      <c r="S23" s="55">
        <f t="shared" si="9"/>
        <v>230.31578947368405</v>
      </c>
      <c r="T23" s="55">
        <f t="shared" si="10"/>
        <v>228.63157894736827</v>
      </c>
      <c r="U23" s="55">
        <f t="shared" si="11"/>
        <v>230.31578947368405</v>
      </c>
      <c r="V23" s="26">
        <f t="shared" si="12"/>
        <v>0</v>
      </c>
      <c r="W23" s="26">
        <f t="shared" si="13"/>
        <v>1.6842105263157805</v>
      </c>
      <c r="X23" s="12" t="b">
        <f t="shared" si="14"/>
        <v>1</v>
      </c>
      <c r="Z23" s="3">
        <f t="shared" si="15"/>
        <v>18</v>
      </c>
      <c r="AA23" s="27">
        <f>Parameters!$C$7</f>
        <v>2500</v>
      </c>
      <c r="AB23" s="26">
        <f t="shared" si="16"/>
        <v>1897</v>
      </c>
      <c r="AC23" s="26">
        <f t="shared" si="17"/>
        <v>228.63157894736827</v>
      </c>
      <c r="AD23" s="26">
        <f t="shared" si="18"/>
        <v>374.36842105263173</v>
      </c>
      <c r="AE23" s="26">
        <f t="shared" si="0"/>
        <v>6</v>
      </c>
      <c r="AF23" s="26">
        <f t="shared" si="0"/>
        <v>1.6842105263157805</v>
      </c>
      <c r="AG23" s="26">
        <f t="shared" si="19"/>
        <v>378.68421052631595</v>
      </c>
      <c r="AH23" s="28">
        <f t="shared" si="20"/>
        <v>0</v>
      </c>
      <c r="AJ23" s="26">
        <f>IF(AG23&gt;=0,AF23*Parameters!$C$25,MAX(AD23+AE23,0)*Parameters!$C$25)</f>
        <v>84210.526315789029</v>
      </c>
      <c r="AK23" s="26">
        <f>IF(AG23&lt;0,-AG23*Parameters!$C$27,0)</f>
        <v>0</v>
      </c>
      <c r="AL23" s="26">
        <f>MAX(AG23,0)*Parameters!$C$26</f>
        <v>5680263.1578947389</v>
      </c>
      <c r="AM23" s="29">
        <f t="shared" si="1"/>
        <v>5764473.6842105277</v>
      </c>
    </row>
    <row r="24" spans="2:39" x14ac:dyDescent="0.25">
      <c r="B24" s="3">
        <f t="shared" si="21"/>
        <v>19</v>
      </c>
      <c r="C24" s="3">
        <f>IF(B24&lt;=Parameters!$C$9,1,2)</f>
        <v>2</v>
      </c>
      <c r="D24" s="26">
        <f t="shared" si="22"/>
        <v>1891</v>
      </c>
      <c r="E24" s="26">
        <f>ROUND(D24*IF(C24=1,Parameters!$E$13,Parameters!$E$14),0)</f>
        <v>26</v>
      </c>
      <c r="F24" s="26">
        <f>ROUND((E24+D24)*IF(C24=1,Parameters!$E$17,Parameters!$E$18),0)</f>
        <v>6</v>
      </c>
      <c r="G24" s="26">
        <f t="shared" si="2"/>
        <v>1911</v>
      </c>
      <c r="H24" s="26">
        <f t="shared" si="3"/>
        <v>1891</v>
      </c>
      <c r="I24" s="26">
        <f t="shared" si="4"/>
        <v>1911</v>
      </c>
      <c r="J24" s="26">
        <f t="shared" si="5"/>
        <v>0</v>
      </c>
      <c r="K24" s="26">
        <f t="shared" si="6"/>
        <v>20</v>
      </c>
      <c r="L24" s="12" t="b">
        <f t="shared" si="7"/>
        <v>1</v>
      </c>
      <c r="N24" s="3">
        <f t="shared" si="8"/>
        <v>19</v>
      </c>
      <c r="O24" s="10">
        <f>IF(N24&lt;=Parameters!$C$10,1,0)</f>
        <v>1</v>
      </c>
      <c r="P24" s="55">
        <f t="shared" si="23"/>
        <v>230.31578947368405</v>
      </c>
      <c r="Q24" s="55">
        <f>Parameters!$C$35*O24</f>
        <v>2.6842105263157738</v>
      </c>
      <c r="R24" s="55">
        <f>ROUND((Q24+P24)*Parameters!$E$23,0)</f>
        <v>1</v>
      </c>
      <c r="S24" s="55">
        <f t="shared" si="9"/>
        <v>231.99999999999983</v>
      </c>
      <c r="T24" s="55">
        <f t="shared" si="10"/>
        <v>230.31578947368405</v>
      </c>
      <c r="U24" s="55">
        <f t="shared" si="11"/>
        <v>231.99999999999983</v>
      </c>
      <c r="V24" s="26">
        <f t="shared" si="12"/>
        <v>0</v>
      </c>
      <c r="W24" s="26">
        <f t="shared" si="13"/>
        <v>1.6842105263157805</v>
      </c>
      <c r="X24" s="12" t="b">
        <f t="shared" si="14"/>
        <v>1</v>
      </c>
      <c r="Z24" s="3">
        <f t="shared" si="15"/>
        <v>19</v>
      </c>
      <c r="AA24" s="27">
        <f>Parameters!$C$7</f>
        <v>2500</v>
      </c>
      <c r="AB24" s="26">
        <f t="shared" si="16"/>
        <v>1891</v>
      </c>
      <c r="AC24" s="26">
        <f t="shared" si="17"/>
        <v>230.31578947368405</v>
      </c>
      <c r="AD24" s="26">
        <f t="shared" si="18"/>
        <v>378.68421052631595</v>
      </c>
      <c r="AE24" s="26">
        <f t="shared" si="0"/>
        <v>0</v>
      </c>
      <c r="AF24" s="26">
        <f t="shared" si="0"/>
        <v>21.68421052631578</v>
      </c>
      <c r="AG24" s="26">
        <f t="shared" si="19"/>
        <v>357.00000000000017</v>
      </c>
      <c r="AH24" s="28">
        <f t="shared" si="20"/>
        <v>0</v>
      </c>
      <c r="AJ24" s="26">
        <f>IF(AG24&gt;=0,AF24*Parameters!$C$25,MAX(AD24+AE24,0)*Parameters!$C$25)</f>
        <v>1084210.526315789</v>
      </c>
      <c r="AK24" s="26">
        <f>IF(AG24&lt;0,-AG24*Parameters!$C$27,0)</f>
        <v>0</v>
      </c>
      <c r="AL24" s="26">
        <f>MAX(AG24,0)*Parameters!$C$26</f>
        <v>5355000.0000000028</v>
      </c>
      <c r="AM24" s="29">
        <f t="shared" si="1"/>
        <v>6439210.5263157915</v>
      </c>
    </row>
    <row r="25" spans="2:39" x14ac:dyDescent="0.25">
      <c r="B25" s="3">
        <f t="shared" si="21"/>
        <v>20</v>
      </c>
      <c r="C25" s="3">
        <f>IF(B25&lt;=Parameters!$C$9,1,2)</f>
        <v>2</v>
      </c>
      <c r="D25" s="26">
        <f t="shared" si="22"/>
        <v>1911</v>
      </c>
      <c r="E25" s="26">
        <f>ROUND(D25*IF(C25=1,Parameters!$E$13,Parameters!$E$14),0)</f>
        <v>27</v>
      </c>
      <c r="F25" s="26">
        <f>ROUND((E25+D25)*IF(C25=1,Parameters!$E$17,Parameters!$E$18),0)</f>
        <v>6</v>
      </c>
      <c r="G25" s="26">
        <f t="shared" si="2"/>
        <v>1932</v>
      </c>
      <c r="H25" s="26">
        <f t="shared" si="3"/>
        <v>1911</v>
      </c>
      <c r="I25" s="26">
        <f t="shared" si="4"/>
        <v>1932</v>
      </c>
      <c r="J25" s="26">
        <f t="shared" si="5"/>
        <v>0</v>
      </c>
      <c r="K25" s="26">
        <f t="shared" si="6"/>
        <v>21</v>
      </c>
      <c r="L25" s="12" t="b">
        <f t="shared" si="7"/>
        <v>1</v>
      </c>
      <c r="N25" s="3">
        <f t="shared" si="8"/>
        <v>20</v>
      </c>
      <c r="O25" s="10">
        <f>IF(N25&lt;=Parameters!$C$10,1,0)</f>
        <v>0</v>
      </c>
      <c r="P25" s="55">
        <f t="shared" si="23"/>
        <v>231.99999999999983</v>
      </c>
      <c r="Q25" s="55">
        <f>Parameters!$C$35*O25</f>
        <v>0</v>
      </c>
      <c r="R25" s="55">
        <f>ROUND((Q25+P25)*Parameters!$E$23,0)</f>
        <v>1</v>
      </c>
      <c r="S25" s="55">
        <f t="shared" si="9"/>
        <v>230.99999999999983</v>
      </c>
      <c r="T25" s="55">
        <f t="shared" si="10"/>
        <v>231.99999999999983</v>
      </c>
      <c r="U25" s="55">
        <f t="shared" si="11"/>
        <v>230.99999999999983</v>
      </c>
      <c r="V25" s="26">
        <f t="shared" si="12"/>
        <v>1</v>
      </c>
      <c r="W25" s="26">
        <f t="shared" si="13"/>
        <v>0</v>
      </c>
      <c r="X25" s="12" t="b">
        <f t="shared" si="14"/>
        <v>1</v>
      </c>
      <c r="Z25" s="3">
        <f t="shared" si="15"/>
        <v>20</v>
      </c>
      <c r="AA25" s="27">
        <f>Parameters!$C$7</f>
        <v>2500</v>
      </c>
      <c r="AB25" s="26">
        <f t="shared" si="16"/>
        <v>1911</v>
      </c>
      <c r="AC25" s="26">
        <f t="shared" si="17"/>
        <v>231.99999999999983</v>
      </c>
      <c r="AD25" s="26">
        <f t="shared" si="18"/>
        <v>357.00000000000017</v>
      </c>
      <c r="AE25" s="26">
        <f t="shared" si="0"/>
        <v>1</v>
      </c>
      <c r="AF25" s="26">
        <f t="shared" si="0"/>
        <v>21</v>
      </c>
      <c r="AG25" s="26">
        <f t="shared" si="19"/>
        <v>337.00000000000017</v>
      </c>
      <c r="AH25" s="28">
        <f t="shared" si="20"/>
        <v>0</v>
      </c>
      <c r="AJ25" s="26">
        <f>IF(AG25&gt;=0,AF25*Parameters!$C$25,MAX(AD25+AE25,0)*Parameters!$C$25)</f>
        <v>1050000</v>
      </c>
      <c r="AK25" s="26">
        <f>IF(AG25&lt;0,-AG25*Parameters!$C$27,0)</f>
        <v>0</v>
      </c>
      <c r="AL25" s="26">
        <f>MAX(AG25,0)*Parameters!$C$26</f>
        <v>5055000.0000000028</v>
      </c>
      <c r="AM25" s="29">
        <f t="shared" si="1"/>
        <v>6105000.0000000028</v>
      </c>
    </row>
    <row r="26" spans="2:39" x14ac:dyDescent="0.25">
      <c r="B26" s="3">
        <f t="shared" si="21"/>
        <v>21</v>
      </c>
      <c r="C26" s="3">
        <f>IF(B26&lt;=Parameters!$C$9,1,2)</f>
        <v>2</v>
      </c>
      <c r="D26" s="26">
        <f t="shared" si="22"/>
        <v>1932</v>
      </c>
      <c r="E26" s="26">
        <f>ROUND(D26*IF(C26=1,Parameters!$E$13,Parameters!$E$14),0)</f>
        <v>27</v>
      </c>
      <c r="F26" s="26">
        <f>ROUND((E26+D26)*IF(C26=1,Parameters!$E$17,Parameters!$E$18),0)</f>
        <v>6</v>
      </c>
      <c r="G26" s="26">
        <f t="shared" si="2"/>
        <v>1953</v>
      </c>
      <c r="H26" s="26">
        <f t="shared" si="3"/>
        <v>1932</v>
      </c>
      <c r="I26" s="26">
        <f t="shared" si="4"/>
        <v>1953</v>
      </c>
      <c r="J26" s="26">
        <f t="shared" si="5"/>
        <v>0</v>
      </c>
      <c r="K26" s="26">
        <f t="shared" si="6"/>
        <v>21</v>
      </c>
      <c r="L26" s="12" t="b">
        <f t="shared" si="7"/>
        <v>1</v>
      </c>
      <c r="N26" s="3">
        <f t="shared" si="8"/>
        <v>21</v>
      </c>
      <c r="O26" s="10">
        <f>IF(N26&lt;=Parameters!$C$10,1,0)</f>
        <v>0</v>
      </c>
      <c r="P26" s="55">
        <f t="shared" si="23"/>
        <v>230.99999999999983</v>
      </c>
      <c r="Q26" s="55">
        <f>Parameters!$C$35*O26</f>
        <v>0</v>
      </c>
      <c r="R26" s="55">
        <f>ROUND((Q26+P26)*Parameters!$E$23,0)</f>
        <v>1</v>
      </c>
      <c r="S26" s="55">
        <f t="shared" si="9"/>
        <v>229.99999999999983</v>
      </c>
      <c r="T26" s="55">
        <f t="shared" si="10"/>
        <v>230.99999999999983</v>
      </c>
      <c r="U26" s="55">
        <f t="shared" si="11"/>
        <v>229.99999999999983</v>
      </c>
      <c r="V26" s="26">
        <f t="shared" si="12"/>
        <v>1</v>
      </c>
      <c r="W26" s="26">
        <f t="shared" si="13"/>
        <v>0</v>
      </c>
      <c r="X26" s="12" t="b">
        <f t="shared" si="14"/>
        <v>1</v>
      </c>
      <c r="Z26" s="3">
        <f t="shared" si="15"/>
        <v>21</v>
      </c>
      <c r="AA26" s="27">
        <f>Parameters!$C$7</f>
        <v>2500</v>
      </c>
      <c r="AB26" s="26">
        <f t="shared" si="16"/>
        <v>1932</v>
      </c>
      <c r="AC26" s="26">
        <f t="shared" si="17"/>
        <v>230.99999999999983</v>
      </c>
      <c r="AD26" s="26">
        <f t="shared" si="18"/>
        <v>337.00000000000017</v>
      </c>
      <c r="AE26" s="26">
        <f t="shared" si="0"/>
        <v>1</v>
      </c>
      <c r="AF26" s="26">
        <f t="shared" si="0"/>
        <v>21</v>
      </c>
      <c r="AG26" s="26">
        <f t="shared" si="19"/>
        <v>317.00000000000017</v>
      </c>
      <c r="AH26" s="28">
        <f t="shared" si="20"/>
        <v>0</v>
      </c>
      <c r="AJ26" s="26">
        <f>IF(AG26&gt;=0,AF26*Parameters!$C$25,MAX(AD26+AE26,0)*Parameters!$C$25)</f>
        <v>1050000</v>
      </c>
      <c r="AK26" s="26">
        <f>IF(AG26&lt;0,-AG26*Parameters!$C$27,0)</f>
        <v>0</v>
      </c>
      <c r="AL26" s="26">
        <f>MAX(AG26,0)*Parameters!$C$26</f>
        <v>4755000.0000000028</v>
      </c>
      <c r="AM26" s="29">
        <f t="shared" si="1"/>
        <v>5805000.0000000028</v>
      </c>
    </row>
    <row r="27" spans="2:39" x14ac:dyDescent="0.25">
      <c r="B27" s="3">
        <f t="shared" si="21"/>
        <v>22</v>
      </c>
      <c r="C27" s="3">
        <f>IF(B27&lt;=Parameters!$C$9,1,2)</f>
        <v>2</v>
      </c>
      <c r="D27" s="26">
        <f t="shared" si="22"/>
        <v>1953</v>
      </c>
      <c r="E27" s="26">
        <f>ROUND(D27*IF(C27=1,Parameters!$E$13,Parameters!$E$14),0)</f>
        <v>27</v>
      </c>
      <c r="F27" s="26">
        <f>ROUND((E27+D27)*IF(C27=1,Parameters!$E$17,Parameters!$E$18),0)</f>
        <v>6</v>
      </c>
      <c r="G27" s="26">
        <f t="shared" si="2"/>
        <v>1974</v>
      </c>
      <c r="H27" s="26">
        <f t="shared" si="3"/>
        <v>1953</v>
      </c>
      <c r="I27" s="26">
        <f t="shared" si="4"/>
        <v>1974</v>
      </c>
      <c r="J27" s="26">
        <f t="shared" si="5"/>
        <v>0</v>
      </c>
      <c r="K27" s="26">
        <f t="shared" si="6"/>
        <v>21</v>
      </c>
      <c r="L27" s="12" t="b">
        <f t="shared" si="7"/>
        <v>1</v>
      </c>
      <c r="N27" s="3">
        <f t="shared" si="8"/>
        <v>22</v>
      </c>
      <c r="O27" s="10">
        <f>IF(N27&lt;=Parameters!$C$10,1,0)</f>
        <v>0</v>
      </c>
      <c r="P27" s="55">
        <f t="shared" si="23"/>
        <v>229.99999999999983</v>
      </c>
      <c r="Q27" s="55">
        <f>Parameters!$C$35*O27</f>
        <v>0</v>
      </c>
      <c r="R27" s="55">
        <f>ROUND((Q27+P27)*Parameters!$E$23,0)</f>
        <v>1</v>
      </c>
      <c r="S27" s="55">
        <f t="shared" si="9"/>
        <v>228.99999999999983</v>
      </c>
      <c r="T27" s="55">
        <f t="shared" si="10"/>
        <v>229.99999999999983</v>
      </c>
      <c r="U27" s="55">
        <f t="shared" si="11"/>
        <v>228.99999999999983</v>
      </c>
      <c r="V27" s="26">
        <f t="shared" si="12"/>
        <v>1</v>
      </c>
      <c r="W27" s="26">
        <f t="shared" si="13"/>
        <v>0</v>
      </c>
      <c r="X27" s="12" t="b">
        <f t="shared" si="14"/>
        <v>1</v>
      </c>
      <c r="Z27" s="3">
        <f t="shared" si="15"/>
        <v>22</v>
      </c>
      <c r="AA27" s="27">
        <f>Parameters!$C$7</f>
        <v>2500</v>
      </c>
      <c r="AB27" s="26">
        <f t="shared" si="16"/>
        <v>1953</v>
      </c>
      <c r="AC27" s="26">
        <f t="shared" si="17"/>
        <v>229.99999999999983</v>
      </c>
      <c r="AD27" s="26">
        <f t="shared" si="18"/>
        <v>317.00000000000017</v>
      </c>
      <c r="AE27" s="26">
        <f t="shared" si="0"/>
        <v>1</v>
      </c>
      <c r="AF27" s="26">
        <f t="shared" si="0"/>
        <v>21</v>
      </c>
      <c r="AG27" s="26">
        <f t="shared" si="19"/>
        <v>297.00000000000017</v>
      </c>
      <c r="AH27" s="28">
        <f t="shared" si="20"/>
        <v>0</v>
      </c>
      <c r="AJ27" s="26">
        <f>IF(AG27&gt;=0,AF27*Parameters!$C$25,MAX(AD27+AE27,0)*Parameters!$C$25)</f>
        <v>1050000</v>
      </c>
      <c r="AK27" s="26">
        <f>IF(AG27&lt;0,-AG27*Parameters!$C$27,0)</f>
        <v>0</v>
      </c>
      <c r="AL27" s="26">
        <f>MAX(AG27,0)*Parameters!$C$26</f>
        <v>4455000.0000000028</v>
      </c>
      <c r="AM27" s="29">
        <f t="shared" si="1"/>
        <v>5505000.0000000028</v>
      </c>
    </row>
    <row r="28" spans="2:39" x14ac:dyDescent="0.25">
      <c r="B28" s="3">
        <f t="shared" si="21"/>
        <v>23</v>
      </c>
      <c r="C28" s="3">
        <f>IF(B28&lt;=Parameters!$C$9,1,2)</f>
        <v>2</v>
      </c>
      <c r="D28" s="26">
        <f t="shared" si="22"/>
        <v>1974</v>
      </c>
      <c r="E28" s="26">
        <f>ROUND(D28*IF(C28=1,Parameters!$E$13,Parameters!$E$14),0)</f>
        <v>27</v>
      </c>
      <c r="F28" s="26">
        <f>ROUND((E28+D28)*IF(C28=1,Parameters!$E$17,Parameters!$E$18),0)</f>
        <v>7</v>
      </c>
      <c r="G28" s="26">
        <f t="shared" si="2"/>
        <v>1994</v>
      </c>
      <c r="H28" s="26">
        <f t="shared" si="3"/>
        <v>1974</v>
      </c>
      <c r="I28" s="26">
        <f t="shared" si="4"/>
        <v>1994</v>
      </c>
      <c r="J28" s="26">
        <f t="shared" si="5"/>
        <v>0</v>
      </c>
      <c r="K28" s="26">
        <f t="shared" si="6"/>
        <v>20</v>
      </c>
      <c r="L28" s="12" t="b">
        <f t="shared" si="7"/>
        <v>1</v>
      </c>
      <c r="N28" s="3">
        <f t="shared" si="8"/>
        <v>23</v>
      </c>
      <c r="O28" s="10">
        <f>IF(N28&lt;=Parameters!$C$10,1,0)</f>
        <v>0</v>
      </c>
      <c r="P28" s="55">
        <f t="shared" si="23"/>
        <v>228.99999999999983</v>
      </c>
      <c r="Q28" s="55">
        <f>Parameters!$C$35*O28</f>
        <v>0</v>
      </c>
      <c r="R28" s="55">
        <f>ROUND((Q28+P28)*Parameters!$E$23,0)</f>
        <v>1</v>
      </c>
      <c r="S28" s="55">
        <f t="shared" si="9"/>
        <v>227.99999999999983</v>
      </c>
      <c r="T28" s="55">
        <f t="shared" si="10"/>
        <v>228.99999999999983</v>
      </c>
      <c r="U28" s="55">
        <f t="shared" si="11"/>
        <v>227.99999999999983</v>
      </c>
      <c r="V28" s="26">
        <f t="shared" si="12"/>
        <v>1</v>
      </c>
      <c r="W28" s="26">
        <f t="shared" si="13"/>
        <v>0</v>
      </c>
      <c r="X28" s="12" t="b">
        <f t="shared" si="14"/>
        <v>1</v>
      </c>
      <c r="Z28" s="3">
        <f t="shared" si="15"/>
        <v>23</v>
      </c>
      <c r="AA28" s="27">
        <f>Parameters!$C$7</f>
        <v>2500</v>
      </c>
      <c r="AB28" s="26">
        <f t="shared" si="16"/>
        <v>1974</v>
      </c>
      <c r="AC28" s="26">
        <f t="shared" si="17"/>
        <v>228.99999999999983</v>
      </c>
      <c r="AD28" s="26">
        <f t="shared" si="18"/>
        <v>297.00000000000017</v>
      </c>
      <c r="AE28" s="26">
        <f t="shared" si="0"/>
        <v>1</v>
      </c>
      <c r="AF28" s="26">
        <f t="shared" si="0"/>
        <v>20</v>
      </c>
      <c r="AG28" s="26">
        <f t="shared" si="19"/>
        <v>278.00000000000017</v>
      </c>
      <c r="AH28" s="28">
        <f t="shared" si="20"/>
        <v>0</v>
      </c>
      <c r="AJ28" s="26">
        <f>IF(AG28&gt;=0,AF28*Parameters!$C$25,MAX(AD28+AE28,0)*Parameters!$C$25)</f>
        <v>1000000</v>
      </c>
      <c r="AK28" s="26">
        <f>IF(AG28&lt;0,-AG28*Parameters!$C$27,0)</f>
        <v>0</v>
      </c>
      <c r="AL28" s="26">
        <f>MAX(AG28,0)*Parameters!$C$26</f>
        <v>4170000.0000000023</v>
      </c>
      <c r="AM28" s="29">
        <f t="shared" si="1"/>
        <v>5170000.0000000019</v>
      </c>
    </row>
    <row r="29" spans="2:39" x14ac:dyDescent="0.25">
      <c r="B29" s="3">
        <f t="shared" si="21"/>
        <v>24</v>
      </c>
      <c r="C29" s="3">
        <f>IF(B29&lt;=Parameters!$C$9,1,2)</f>
        <v>2</v>
      </c>
      <c r="D29" s="26">
        <f t="shared" si="22"/>
        <v>1994</v>
      </c>
      <c r="E29" s="26">
        <f>ROUND(D29*IF(C29=1,Parameters!$E$13,Parameters!$E$14),0)</f>
        <v>28</v>
      </c>
      <c r="F29" s="26">
        <f>ROUND((E29+D29)*IF(C29=1,Parameters!$E$17,Parameters!$E$18),0)</f>
        <v>7</v>
      </c>
      <c r="G29" s="26">
        <f t="shared" si="2"/>
        <v>2015</v>
      </c>
      <c r="H29" s="26">
        <f t="shared" si="3"/>
        <v>1994</v>
      </c>
      <c r="I29" s="26">
        <f t="shared" si="4"/>
        <v>2015</v>
      </c>
      <c r="J29" s="26">
        <f t="shared" si="5"/>
        <v>0</v>
      </c>
      <c r="K29" s="26">
        <f t="shared" si="6"/>
        <v>21</v>
      </c>
      <c r="L29" s="12" t="b">
        <f t="shared" si="7"/>
        <v>1</v>
      </c>
      <c r="N29" s="3">
        <f t="shared" si="8"/>
        <v>24</v>
      </c>
      <c r="O29" s="10">
        <f>IF(N29&lt;=Parameters!$C$10,1,0)</f>
        <v>0</v>
      </c>
      <c r="P29" s="55">
        <f t="shared" si="23"/>
        <v>227.99999999999983</v>
      </c>
      <c r="Q29" s="55">
        <f>Parameters!$C$35*O29</f>
        <v>0</v>
      </c>
      <c r="R29" s="55">
        <f>ROUND((Q29+P29)*Parameters!$E$23,0)</f>
        <v>1</v>
      </c>
      <c r="S29" s="55">
        <f t="shared" si="9"/>
        <v>226.99999999999983</v>
      </c>
      <c r="T29" s="55">
        <f t="shared" si="10"/>
        <v>227.99999999999983</v>
      </c>
      <c r="U29" s="55">
        <f t="shared" si="11"/>
        <v>226.99999999999983</v>
      </c>
      <c r="V29" s="26">
        <f t="shared" si="12"/>
        <v>1</v>
      </c>
      <c r="W29" s="26">
        <f t="shared" si="13"/>
        <v>0</v>
      </c>
      <c r="X29" s="12" t="b">
        <f t="shared" si="14"/>
        <v>1</v>
      </c>
      <c r="Z29" s="3">
        <f t="shared" si="15"/>
        <v>24</v>
      </c>
      <c r="AA29" s="27">
        <f>Parameters!$C$7</f>
        <v>2500</v>
      </c>
      <c r="AB29" s="26">
        <f t="shared" si="16"/>
        <v>1994</v>
      </c>
      <c r="AC29" s="26">
        <f t="shared" si="17"/>
        <v>227.99999999999983</v>
      </c>
      <c r="AD29" s="26">
        <f t="shared" si="18"/>
        <v>278.00000000000017</v>
      </c>
      <c r="AE29" s="26">
        <f t="shared" si="0"/>
        <v>1</v>
      </c>
      <c r="AF29" s="26">
        <f t="shared" si="0"/>
        <v>21</v>
      </c>
      <c r="AG29" s="26">
        <f t="shared" si="19"/>
        <v>258.00000000000017</v>
      </c>
      <c r="AH29" s="28">
        <f t="shared" si="20"/>
        <v>0</v>
      </c>
      <c r="AJ29" s="26">
        <f>IF(AG29&gt;=0,AF29*Parameters!$C$25,MAX(AD29+AE29,0)*Parameters!$C$25)</f>
        <v>1050000</v>
      </c>
      <c r="AK29" s="26">
        <f>IF(AG29&lt;0,-AG29*Parameters!$C$27,0)</f>
        <v>0</v>
      </c>
      <c r="AL29" s="26">
        <f>MAX(AG29,0)*Parameters!$C$26</f>
        <v>3870000.0000000023</v>
      </c>
      <c r="AM29" s="29">
        <f t="shared" si="1"/>
        <v>4920000.0000000019</v>
      </c>
    </row>
    <row r="30" spans="2:39" x14ac:dyDescent="0.25">
      <c r="B30" s="3">
        <f>B29+1</f>
        <v>25</v>
      </c>
      <c r="C30" s="3">
        <f>IF(B30&lt;=Parameters!$C$9,1,2)</f>
        <v>2</v>
      </c>
      <c r="D30" s="26">
        <f t="shared" si="22"/>
        <v>2015</v>
      </c>
      <c r="E30" s="26">
        <f>ROUND(D30*IF(C30=1,Parameters!$E$13,Parameters!$E$14),0)</f>
        <v>28</v>
      </c>
      <c r="F30" s="26">
        <f>ROUND((E30+D30)*IF(C30=1,Parameters!$E$17,Parameters!$E$18),0)</f>
        <v>7</v>
      </c>
      <c r="G30" s="26">
        <f t="shared" si="2"/>
        <v>2036</v>
      </c>
      <c r="H30" s="26">
        <f t="shared" si="3"/>
        <v>2015</v>
      </c>
      <c r="I30" s="26">
        <f t="shared" si="4"/>
        <v>2036</v>
      </c>
      <c r="J30" s="26">
        <f t="shared" si="5"/>
        <v>0</v>
      </c>
      <c r="K30" s="26">
        <f t="shared" si="6"/>
        <v>21</v>
      </c>
      <c r="L30" s="12" t="b">
        <f t="shared" si="7"/>
        <v>1</v>
      </c>
      <c r="N30" s="3">
        <f t="shared" si="8"/>
        <v>25</v>
      </c>
      <c r="O30" s="10">
        <f>IF(N30&lt;=Parameters!$C$10,1,0)</f>
        <v>0</v>
      </c>
      <c r="P30" s="55">
        <f t="shared" si="23"/>
        <v>226.99999999999983</v>
      </c>
      <c r="Q30" s="55">
        <f>Parameters!$C$35*O30</f>
        <v>0</v>
      </c>
      <c r="R30" s="55">
        <f>ROUND((Q30+P30)*Parameters!$E$23,0)</f>
        <v>1</v>
      </c>
      <c r="S30" s="55">
        <f t="shared" si="9"/>
        <v>225.99999999999983</v>
      </c>
      <c r="T30" s="55">
        <f t="shared" si="10"/>
        <v>226.99999999999983</v>
      </c>
      <c r="U30" s="55">
        <f t="shared" si="11"/>
        <v>225.99999999999983</v>
      </c>
      <c r="V30" s="26">
        <f t="shared" si="12"/>
        <v>1</v>
      </c>
      <c r="W30" s="26">
        <f t="shared" si="13"/>
        <v>0</v>
      </c>
      <c r="X30" s="12" t="b">
        <f t="shared" si="14"/>
        <v>1</v>
      </c>
      <c r="Z30" s="3">
        <f t="shared" si="15"/>
        <v>25</v>
      </c>
      <c r="AA30" s="27">
        <f>Parameters!$C$7</f>
        <v>2500</v>
      </c>
      <c r="AB30" s="26">
        <f t="shared" si="16"/>
        <v>2015</v>
      </c>
      <c r="AC30" s="26">
        <f t="shared" si="17"/>
        <v>226.99999999999983</v>
      </c>
      <c r="AD30" s="26">
        <f t="shared" si="18"/>
        <v>258.00000000000017</v>
      </c>
      <c r="AE30" s="26">
        <f t="shared" si="0"/>
        <v>1</v>
      </c>
      <c r="AF30" s="26">
        <f t="shared" si="0"/>
        <v>21</v>
      </c>
      <c r="AG30" s="26">
        <f t="shared" si="19"/>
        <v>238.00000000000017</v>
      </c>
      <c r="AH30" s="28">
        <f t="shared" si="20"/>
        <v>0</v>
      </c>
      <c r="AJ30" s="26">
        <f>IF(AG30&gt;=0,AF30*Parameters!$C$25,MAX(AD30+AE30,0)*Parameters!$C$25)</f>
        <v>1050000</v>
      </c>
      <c r="AK30" s="26">
        <f>IF(AG30&lt;0,-AG30*Parameters!$C$27,0)</f>
        <v>0</v>
      </c>
      <c r="AL30" s="26">
        <f>MAX(AG30,0)*Parameters!$C$26</f>
        <v>3570000.0000000023</v>
      </c>
      <c r="AM30" s="29">
        <f t="shared" si="1"/>
        <v>4620000.0000000019</v>
      </c>
    </row>
    <row r="31" spans="2:39" x14ac:dyDescent="0.25">
      <c r="B31" s="3">
        <f t="shared" si="21"/>
        <v>26</v>
      </c>
      <c r="C31" s="3">
        <f>IF(B31&lt;=Parameters!$C$9,1,2)</f>
        <v>2</v>
      </c>
      <c r="D31" s="26">
        <f t="shared" si="22"/>
        <v>2036</v>
      </c>
      <c r="E31" s="26">
        <f>ROUND(D31*IF(C31=1,Parameters!$E$13,Parameters!$E$14),0)</f>
        <v>28</v>
      </c>
      <c r="F31" s="26">
        <f>ROUND((E31+D31)*IF(C31=1,Parameters!$E$17,Parameters!$E$18),0)</f>
        <v>7</v>
      </c>
      <c r="G31" s="26">
        <f t="shared" si="2"/>
        <v>2057</v>
      </c>
      <c r="H31" s="26">
        <f t="shared" si="3"/>
        <v>2036</v>
      </c>
      <c r="I31" s="26">
        <f t="shared" si="4"/>
        <v>2057</v>
      </c>
      <c r="J31" s="26">
        <f t="shared" si="5"/>
        <v>0</v>
      </c>
      <c r="K31" s="26">
        <f t="shared" si="6"/>
        <v>21</v>
      </c>
      <c r="L31" s="12" t="b">
        <f t="shared" si="7"/>
        <v>1</v>
      </c>
      <c r="N31" s="3">
        <f t="shared" si="8"/>
        <v>26</v>
      </c>
      <c r="O31" s="10">
        <f>IF(N31&lt;=Parameters!$C$10,1,0)</f>
        <v>0</v>
      </c>
      <c r="P31" s="55">
        <f t="shared" si="23"/>
        <v>225.99999999999983</v>
      </c>
      <c r="Q31" s="55">
        <f>Parameters!$C$35*O31</f>
        <v>0</v>
      </c>
      <c r="R31" s="55">
        <f>ROUND((Q31+P31)*Parameters!$E$23,0)</f>
        <v>1</v>
      </c>
      <c r="S31" s="55">
        <f t="shared" si="9"/>
        <v>224.99999999999983</v>
      </c>
      <c r="T31" s="55">
        <f t="shared" si="10"/>
        <v>225.99999999999983</v>
      </c>
      <c r="U31" s="55">
        <f t="shared" si="11"/>
        <v>224.99999999999983</v>
      </c>
      <c r="V31" s="26">
        <f t="shared" si="12"/>
        <v>1</v>
      </c>
      <c r="W31" s="26">
        <f t="shared" si="13"/>
        <v>0</v>
      </c>
      <c r="X31" s="12" t="b">
        <f t="shared" si="14"/>
        <v>1</v>
      </c>
      <c r="Z31" s="3">
        <f t="shared" si="15"/>
        <v>26</v>
      </c>
      <c r="AA31" s="27">
        <f>Parameters!$C$7</f>
        <v>2500</v>
      </c>
      <c r="AB31" s="26">
        <f t="shared" si="16"/>
        <v>2036</v>
      </c>
      <c r="AC31" s="26">
        <f t="shared" si="17"/>
        <v>225.99999999999983</v>
      </c>
      <c r="AD31" s="26">
        <f t="shared" si="18"/>
        <v>238.00000000000017</v>
      </c>
      <c r="AE31" s="26">
        <f t="shared" si="0"/>
        <v>1</v>
      </c>
      <c r="AF31" s="26">
        <f t="shared" si="0"/>
        <v>21</v>
      </c>
      <c r="AG31" s="26">
        <f t="shared" si="19"/>
        <v>218.00000000000017</v>
      </c>
      <c r="AH31" s="28">
        <f t="shared" si="20"/>
        <v>0</v>
      </c>
      <c r="AJ31" s="26">
        <f>IF(AG31&gt;=0,AF31*Parameters!$C$25,MAX(AD31+AE31,0)*Parameters!$C$25)</f>
        <v>1050000</v>
      </c>
      <c r="AK31" s="26">
        <f>IF(AG31&lt;0,-AG31*Parameters!$C$27,0)</f>
        <v>0</v>
      </c>
      <c r="AL31" s="26">
        <f>MAX(AG31,0)*Parameters!$C$26</f>
        <v>3270000.0000000023</v>
      </c>
      <c r="AM31" s="29">
        <f t="shared" si="1"/>
        <v>4320000.0000000019</v>
      </c>
    </row>
    <row r="32" spans="2:39" x14ac:dyDescent="0.25">
      <c r="B32" s="3">
        <f t="shared" si="21"/>
        <v>27</v>
      </c>
      <c r="C32" s="3">
        <f>IF(B32&lt;=Parameters!$C$9,1,2)</f>
        <v>2</v>
      </c>
      <c r="D32" s="26">
        <f t="shared" si="22"/>
        <v>2057</v>
      </c>
      <c r="E32" s="26">
        <f>ROUND(D32*IF(C32=1,Parameters!$E$13,Parameters!$E$14),0)</f>
        <v>29</v>
      </c>
      <c r="F32" s="26">
        <f>ROUND((E32+D32)*IF(C32=1,Parameters!$E$17,Parameters!$E$18),0)</f>
        <v>7</v>
      </c>
      <c r="G32" s="26">
        <f t="shared" si="2"/>
        <v>2079</v>
      </c>
      <c r="H32" s="26">
        <f t="shared" si="3"/>
        <v>2057</v>
      </c>
      <c r="I32" s="26">
        <f t="shared" si="4"/>
        <v>2079</v>
      </c>
      <c r="J32" s="26">
        <f t="shared" si="5"/>
        <v>0</v>
      </c>
      <c r="K32" s="26">
        <f t="shared" si="6"/>
        <v>22</v>
      </c>
      <c r="L32" s="12" t="b">
        <f t="shared" si="7"/>
        <v>1</v>
      </c>
      <c r="N32" s="3">
        <f t="shared" si="8"/>
        <v>27</v>
      </c>
      <c r="O32" s="10">
        <f>IF(N32&lt;=Parameters!$C$10,1,0)</f>
        <v>0</v>
      </c>
      <c r="P32" s="55">
        <f t="shared" si="23"/>
        <v>224.99999999999983</v>
      </c>
      <c r="Q32" s="55">
        <f>Parameters!$C$35*O32</f>
        <v>0</v>
      </c>
      <c r="R32" s="55">
        <f>ROUND((Q32+P32)*Parameters!$E$23,0)</f>
        <v>1</v>
      </c>
      <c r="S32" s="55">
        <f t="shared" si="9"/>
        <v>223.99999999999983</v>
      </c>
      <c r="T32" s="55">
        <f t="shared" si="10"/>
        <v>224.99999999999983</v>
      </c>
      <c r="U32" s="55">
        <f t="shared" si="11"/>
        <v>223.99999999999983</v>
      </c>
      <c r="V32" s="26">
        <f t="shared" si="12"/>
        <v>1</v>
      </c>
      <c r="W32" s="26">
        <f t="shared" si="13"/>
        <v>0</v>
      </c>
      <c r="X32" s="12" t="b">
        <f t="shared" si="14"/>
        <v>1</v>
      </c>
      <c r="Z32" s="3">
        <f t="shared" si="15"/>
        <v>27</v>
      </c>
      <c r="AA32" s="27">
        <f>Parameters!$C$7</f>
        <v>2500</v>
      </c>
      <c r="AB32" s="26">
        <f t="shared" si="16"/>
        <v>2057</v>
      </c>
      <c r="AC32" s="26">
        <f t="shared" si="17"/>
        <v>224.99999999999983</v>
      </c>
      <c r="AD32" s="26">
        <f t="shared" si="18"/>
        <v>218.00000000000017</v>
      </c>
      <c r="AE32" s="26">
        <f t="shared" si="0"/>
        <v>1</v>
      </c>
      <c r="AF32" s="26">
        <f t="shared" si="0"/>
        <v>22</v>
      </c>
      <c r="AG32" s="26">
        <f t="shared" si="19"/>
        <v>197.00000000000017</v>
      </c>
      <c r="AH32" s="28">
        <f t="shared" si="20"/>
        <v>0</v>
      </c>
      <c r="AJ32" s="26">
        <f>IF(AG32&gt;=0,AF32*Parameters!$C$25,MAX(AD32+AE32,0)*Parameters!$C$25)</f>
        <v>1100000</v>
      </c>
      <c r="AK32" s="26">
        <f>IF(AG32&lt;0,-AG32*Parameters!$C$27,0)</f>
        <v>0</v>
      </c>
      <c r="AL32" s="26">
        <f>MAX(AG32,0)*Parameters!$C$26</f>
        <v>2955000.0000000023</v>
      </c>
      <c r="AM32" s="29">
        <f t="shared" si="1"/>
        <v>4055000.0000000023</v>
      </c>
    </row>
    <row r="33" spans="2:39" x14ac:dyDescent="0.25">
      <c r="B33" s="3">
        <f t="shared" si="21"/>
        <v>28</v>
      </c>
      <c r="C33" s="3">
        <f>IF(B33&lt;=Parameters!$C$9,1,2)</f>
        <v>2</v>
      </c>
      <c r="D33" s="26">
        <f t="shared" si="22"/>
        <v>2079</v>
      </c>
      <c r="E33" s="26">
        <f>ROUND(D33*IF(C33=1,Parameters!$E$13,Parameters!$E$14),0)</f>
        <v>29</v>
      </c>
      <c r="F33" s="26">
        <f>ROUND((E33+D33)*IF(C33=1,Parameters!$E$17,Parameters!$E$18),0)</f>
        <v>7</v>
      </c>
      <c r="G33" s="26">
        <f t="shared" si="2"/>
        <v>2101</v>
      </c>
      <c r="H33" s="26">
        <f t="shared" si="3"/>
        <v>2079</v>
      </c>
      <c r="I33" s="26">
        <f t="shared" si="4"/>
        <v>2101</v>
      </c>
      <c r="J33" s="26">
        <f t="shared" si="5"/>
        <v>0</v>
      </c>
      <c r="K33" s="26">
        <f t="shared" si="6"/>
        <v>22</v>
      </c>
      <c r="L33" s="12" t="b">
        <f t="shared" si="7"/>
        <v>1</v>
      </c>
      <c r="N33" s="3">
        <f t="shared" si="8"/>
        <v>28</v>
      </c>
      <c r="O33" s="10">
        <f>IF(N33&lt;=Parameters!$C$10,1,0)</f>
        <v>0</v>
      </c>
      <c r="P33" s="55">
        <f t="shared" si="23"/>
        <v>223.99999999999983</v>
      </c>
      <c r="Q33" s="55">
        <f>Parameters!$C$35*O33</f>
        <v>0</v>
      </c>
      <c r="R33" s="55">
        <f>ROUND((Q33+P33)*Parameters!$E$23,0)</f>
        <v>1</v>
      </c>
      <c r="S33" s="55">
        <f t="shared" si="9"/>
        <v>222.99999999999983</v>
      </c>
      <c r="T33" s="55">
        <f t="shared" si="10"/>
        <v>223.99999999999983</v>
      </c>
      <c r="U33" s="55">
        <f t="shared" si="11"/>
        <v>222.99999999999983</v>
      </c>
      <c r="V33" s="26">
        <f t="shared" si="12"/>
        <v>1</v>
      </c>
      <c r="W33" s="26">
        <f t="shared" si="13"/>
        <v>0</v>
      </c>
      <c r="X33" s="12" t="b">
        <f t="shared" si="14"/>
        <v>1</v>
      </c>
      <c r="Z33" s="3">
        <f t="shared" si="15"/>
        <v>28</v>
      </c>
      <c r="AA33" s="27">
        <f>Parameters!$C$7</f>
        <v>2500</v>
      </c>
      <c r="AB33" s="26">
        <f t="shared" si="16"/>
        <v>2079</v>
      </c>
      <c r="AC33" s="26">
        <f t="shared" si="17"/>
        <v>223.99999999999983</v>
      </c>
      <c r="AD33" s="26">
        <f t="shared" si="18"/>
        <v>197.00000000000017</v>
      </c>
      <c r="AE33" s="26">
        <f t="shared" si="0"/>
        <v>1</v>
      </c>
      <c r="AF33" s="26">
        <f t="shared" si="0"/>
        <v>22</v>
      </c>
      <c r="AG33" s="26">
        <f t="shared" si="19"/>
        <v>176.00000000000017</v>
      </c>
      <c r="AH33" s="28">
        <f t="shared" si="20"/>
        <v>0</v>
      </c>
      <c r="AJ33" s="26">
        <f>IF(AG33&gt;=0,AF33*Parameters!$C$25,MAX(AD33+AE33,0)*Parameters!$C$25)</f>
        <v>1100000</v>
      </c>
      <c r="AK33" s="26">
        <f>IF(AG33&lt;0,-AG33*Parameters!$C$27,0)</f>
        <v>0</v>
      </c>
      <c r="AL33" s="26">
        <f>MAX(AG33,0)*Parameters!$C$26</f>
        <v>2640000.0000000023</v>
      </c>
      <c r="AM33" s="29">
        <f t="shared" si="1"/>
        <v>3740000.0000000023</v>
      </c>
    </row>
    <row r="34" spans="2:39" x14ac:dyDescent="0.25">
      <c r="B34" s="3">
        <f t="shared" si="21"/>
        <v>29</v>
      </c>
      <c r="C34" s="3">
        <f>IF(B34&lt;=Parameters!$C$9,1,2)</f>
        <v>2</v>
      </c>
      <c r="D34" s="26">
        <f t="shared" si="22"/>
        <v>2101</v>
      </c>
      <c r="E34" s="26">
        <f>ROUND(D34*IF(C34=1,Parameters!$E$13,Parameters!$E$14),0)</f>
        <v>29</v>
      </c>
      <c r="F34" s="26">
        <f>ROUND((E34+D34)*IF(C34=1,Parameters!$E$17,Parameters!$E$18),0)</f>
        <v>7</v>
      </c>
      <c r="G34" s="26">
        <f t="shared" si="2"/>
        <v>2123</v>
      </c>
      <c r="H34" s="26">
        <f t="shared" si="3"/>
        <v>2101</v>
      </c>
      <c r="I34" s="26">
        <f t="shared" si="4"/>
        <v>2123</v>
      </c>
      <c r="J34" s="26">
        <f t="shared" si="5"/>
        <v>0</v>
      </c>
      <c r="K34" s="26">
        <f t="shared" si="6"/>
        <v>22</v>
      </c>
      <c r="L34" s="12" t="b">
        <f t="shared" si="7"/>
        <v>1</v>
      </c>
      <c r="N34" s="3">
        <f t="shared" si="8"/>
        <v>29</v>
      </c>
      <c r="O34" s="10">
        <f>IF(N34&lt;=Parameters!$C$10,1,0)</f>
        <v>0</v>
      </c>
      <c r="P34" s="55">
        <f t="shared" si="23"/>
        <v>222.99999999999983</v>
      </c>
      <c r="Q34" s="55">
        <f>Parameters!$C$35*O34</f>
        <v>0</v>
      </c>
      <c r="R34" s="55">
        <f>ROUND((Q34+P34)*Parameters!$E$23,0)</f>
        <v>1</v>
      </c>
      <c r="S34" s="55">
        <f t="shared" si="9"/>
        <v>221.99999999999983</v>
      </c>
      <c r="T34" s="55">
        <f t="shared" si="10"/>
        <v>222.99999999999983</v>
      </c>
      <c r="U34" s="55">
        <f t="shared" si="11"/>
        <v>221.99999999999983</v>
      </c>
      <c r="V34" s="26">
        <f t="shared" si="12"/>
        <v>1</v>
      </c>
      <c r="W34" s="26">
        <f t="shared" si="13"/>
        <v>0</v>
      </c>
      <c r="X34" s="12" t="b">
        <f t="shared" si="14"/>
        <v>1</v>
      </c>
      <c r="Z34" s="3">
        <f t="shared" si="15"/>
        <v>29</v>
      </c>
      <c r="AA34" s="27">
        <f>Parameters!$C$7</f>
        <v>2500</v>
      </c>
      <c r="AB34" s="26">
        <f t="shared" si="16"/>
        <v>2101</v>
      </c>
      <c r="AC34" s="26">
        <f t="shared" si="17"/>
        <v>222.99999999999983</v>
      </c>
      <c r="AD34" s="26">
        <f t="shared" si="18"/>
        <v>176.00000000000017</v>
      </c>
      <c r="AE34" s="26">
        <f t="shared" si="0"/>
        <v>1</v>
      </c>
      <c r="AF34" s="26">
        <f t="shared" si="0"/>
        <v>22</v>
      </c>
      <c r="AG34" s="26">
        <f t="shared" si="19"/>
        <v>155.00000000000017</v>
      </c>
      <c r="AH34" s="28">
        <f t="shared" si="20"/>
        <v>0</v>
      </c>
      <c r="AJ34" s="26">
        <f>IF(AG34&gt;=0,AF34*Parameters!$C$25,MAX(AD34+AE34,0)*Parameters!$C$25)</f>
        <v>1100000</v>
      </c>
      <c r="AK34" s="26">
        <f>IF(AG34&lt;0,-AG34*Parameters!$C$27,0)</f>
        <v>0</v>
      </c>
      <c r="AL34" s="26">
        <f>MAX(AG34,0)*Parameters!$C$26</f>
        <v>2325000.0000000023</v>
      </c>
      <c r="AM34" s="29">
        <f t="shared" si="1"/>
        <v>3425000.0000000023</v>
      </c>
    </row>
    <row r="35" spans="2:39" x14ac:dyDescent="0.25">
      <c r="B35" s="3">
        <f t="shared" si="21"/>
        <v>30</v>
      </c>
      <c r="C35" s="3">
        <f>IF(B35&lt;=Parameters!$C$9,1,2)</f>
        <v>2</v>
      </c>
      <c r="D35" s="26">
        <f t="shared" si="22"/>
        <v>2123</v>
      </c>
      <c r="E35" s="26">
        <f>ROUND(D35*IF(C35=1,Parameters!$E$13,Parameters!$E$14),0)</f>
        <v>29</v>
      </c>
      <c r="F35" s="26">
        <f>ROUND((E35+D35)*IF(C35=1,Parameters!$E$17,Parameters!$E$18),0)</f>
        <v>7</v>
      </c>
      <c r="G35" s="26">
        <f t="shared" si="2"/>
        <v>2145</v>
      </c>
      <c r="H35" s="26">
        <f t="shared" si="3"/>
        <v>2123</v>
      </c>
      <c r="I35" s="26">
        <f t="shared" si="4"/>
        <v>2145</v>
      </c>
      <c r="J35" s="26">
        <f t="shared" si="5"/>
        <v>0</v>
      </c>
      <c r="K35" s="26">
        <f t="shared" si="6"/>
        <v>22</v>
      </c>
      <c r="L35" s="12" t="b">
        <f t="shared" si="7"/>
        <v>1</v>
      </c>
      <c r="N35" s="3">
        <f t="shared" si="8"/>
        <v>30</v>
      </c>
      <c r="O35" s="10">
        <f>IF(N35&lt;=Parameters!$C$10,1,0)</f>
        <v>0</v>
      </c>
      <c r="P35" s="55">
        <f t="shared" si="23"/>
        <v>221.99999999999983</v>
      </c>
      <c r="Q35" s="55">
        <f>Parameters!$C$35*O35</f>
        <v>0</v>
      </c>
      <c r="R35" s="55">
        <f>ROUND((Q35+P35)*Parameters!$E$23,0)</f>
        <v>1</v>
      </c>
      <c r="S35" s="55">
        <f t="shared" si="9"/>
        <v>220.99999999999983</v>
      </c>
      <c r="T35" s="55">
        <f t="shared" si="10"/>
        <v>221.99999999999983</v>
      </c>
      <c r="U35" s="55">
        <f t="shared" si="11"/>
        <v>220.99999999999983</v>
      </c>
      <c r="V35" s="26">
        <f t="shared" si="12"/>
        <v>1</v>
      </c>
      <c r="W35" s="26">
        <f t="shared" si="13"/>
        <v>0</v>
      </c>
      <c r="X35" s="12" t="b">
        <f t="shared" si="14"/>
        <v>1</v>
      </c>
      <c r="Z35" s="3">
        <f t="shared" si="15"/>
        <v>30</v>
      </c>
      <c r="AA35" s="27">
        <f>Parameters!$C$7</f>
        <v>2500</v>
      </c>
      <c r="AB35" s="26">
        <f t="shared" si="16"/>
        <v>2123</v>
      </c>
      <c r="AC35" s="26">
        <f t="shared" si="17"/>
        <v>221.99999999999983</v>
      </c>
      <c r="AD35" s="26">
        <f t="shared" si="18"/>
        <v>155.00000000000017</v>
      </c>
      <c r="AE35" s="26">
        <f t="shared" si="0"/>
        <v>1</v>
      </c>
      <c r="AF35" s="26">
        <f t="shared" si="0"/>
        <v>22</v>
      </c>
      <c r="AG35" s="26">
        <f t="shared" si="19"/>
        <v>134.00000000000017</v>
      </c>
      <c r="AH35" s="28">
        <f t="shared" si="20"/>
        <v>0</v>
      </c>
      <c r="AJ35" s="26">
        <f>IF(AG35&gt;=0,AF35*Parameters!$C$25,MAX(AD35+AE35,0)*Parameters!$C$25)</f>
        <v>1100000</v>
      </c>
      <c r="AK35" s="26">
        <f>IF(AG35&lt;0,-AG35*Parameters!$C$27,0)</f>
        <v>0</v>
      </c>
      <c r="AL35" s="26">
        <f>MAX(AG35,0)*Parameters!$C$26</f>
        <v>2010000.0000000026</v>
      </c>
      <c r="AM35" s="29">
        <f t="shared" si="1"/>
        <v>3110000.0000000028</v>
      </c>
    </row>
    <row r="36" spans="2:39" x14ac:dyDescent="0.25">
      <c r="B36" s="3">
        <f t="shared" si="21"/>
        <v>31</v>
      </c>
      <c r="C36" s="3">
        <f>IF(B36&lt;=Parameters!$C$9,1,2)</f>
        <v>2</v>
      </c>
      <c r="D36" s="26">
        <f t="shared" si="22"/>
        <v>2145</v>
      </c>
      <c r="E36" s="26">
        <f>ROUND(D36*IF(C36=1,Parameters!$E$13,Parameters!$E$14),0)</f>
        <v>30</v>
      </c>
      <c r="F36" s="26">
        <f>ROUND((E36+D36)*IF(C36=1,Parameters!$E$17,Parameters!$E$18),0)</f>
        <v>7</v>
      </c>
      <c r="G36" s="26">
        <f t="shared" si="2"/>
        <v>2168</v>
      </c>
      <c r="H36" s="26">
        <f t="shared" si="3"/>
        <v>2145</v>
      </c>
      <c r="I36" s="26">
        <f t="shared" si="4"/>
        <v>2168</v>
      </c>
      <c r="J36" s="26">
        <f t="shared" si="5"/>
        <v>0</v>
      </c>
      <c r="K36" s="26">
        <f t="shared" si="6"/>
        <v>23</v>
      </c>
      <c r="L36" s="12" t="b">
        <f t="shared" si="7"/>
        <v>1</v>
      </c>
      <c r="N36" s="3">
        <f t="shared" si="8"/>
        <v>31</v>
      </c>
      <c r="O36" s="10">
        <f>IF(N36&lt;=Parameters!$C$10,1,0)</f>
        <v>0</v>
      </c>
      <c r="P36" s="55">
        <f t="shared" si="23"/>
        <v>220.99999999999983</v>
      </c>
      <c r="Q36" s="55">
        <f>Parameters!$C$35*O36</f>
        <v>0</v>
      </c>
      <c r="R36" s="55">
        <f>ROUND((Q36+P36)*Parameters!$E$23,0)</f>
        <v>1</v>
      </c>
      <c r="S36" s="55">
        <f t="shared" si="9"/>
        <v>219.99999999999983</v>
      </c>
      <c r="T36" s="55">
        <f t="shared" si="10"/>
        <v>220.99999999999983</v>
      </c>
      <c r="U36" s="55">
        <f t="shared" si="11"/>
        <v>219.99999999999983</v>
      </c>
      <c r="V36" s="26">
        <f t="shared" si="12"/>
        <v>1</v>
      </c>
      <c r="W36" s="26">
        <f t="shared" si="13"/>
        <v>0</v>
      </c>
      <c r="X36" s="12" t="b">
        <f t="shared" si="14"/>
        <v>1</v>
      </c>
      <c r="Z36" s="3">
        <f t="shared" si="15"/>
        <v>31</v>
      </c>
      <c r="AA36" s="27">
        <f>Parameters!$C$7</f>
        <v>2500</v>
      </c>
      <c r="AB36" s="26">
        <f t="shared" si="16"/>
        <v>2145</v>
      </c>
      <c r="AC36" s="26">
        <f t="shared" si="17"/>
        <v>220.99999999999983</v>
      </c>
      <c r="AD36" s="26">
        <f t="shared" si="18"/>
        <v>134.00000000000017</v>
      </c>
      <c r="AE36" s="26">
        <f t="shared" si="0"/>
        <v>1</v>
      </c>
      <c r="AF36" s="26">
        <f t="shared" si="0"/>
        <v>23</v>
      </c>
      <c r="AG36" s="26">
        <f t="shared" si="19"/>
        <v>112.00000000000017</v>
      </c>
      <c r="AH36" s="28">
        <f t="shared" si="20"/>
        <v>0</v>
      </c>
      <c r="AJ36" s="26">
        <f>IF(AG36&gt;=0,AF36*Parameters!$C$25,MAX(AD36+AE36,0)*Parameters!$C$25)</f>
        <v>1150000</v>
      </c>
      <c r="AK36" s="26">
        <f>IF(AG36&lt;0,-AG36*Parameters!$C$27,0)</f>
        <v>0</v>
      </c>
      <c r="AL36" s="26">
        <f>MAX(AG36,0)*Parameters!$C$26</f>
        <v>1680000.0000000026</v>
      </c>
      <c r="AM36" s="29">
        <f t="shared" si="1"/>
        <v>2830000.0000000028</v>
      </c>
    </row>
    <row r="37" spans="2:39" x14ac:dyDescent="0.25">
      <c r="B37" s="3">
        <f t="shared" si="21"/>
        <v>32</v>
      </c>
      <c r="C37" s="3">
        <f>IF(B37&lt;=Parameters!$C$9,1,2)</f>
        <v>2</v>
      </c>
      <c r="D37" s="26">
        <f t="shared" si="22"/>
        <v>2168</v>
      </c>
      <c r="E37" s="26">
        <f>ROUND(D37*IF(C37=1,Parameters!$E$13,Parameters!$E$14),0)</f>
        <v>30</v>
      </c>
      <c r="F37" s="26">
        <f>ROUND((E37+D37)*IF(C37=1,Parameters!$E$17,Parameters!$E$18),0)</f>
        <v>7</v>
      </c>
      <c r="G37" s="26">
        <f t="shared" si="2"/>
        <v>2191</v>
      </c>
      <c r="H37" s="26">
        <f t="shared" si="3"/>
        <v>2168</v>
      </c>
      <c r="I37" s="26">
        <f t="shared" si="4"/>
        <v>2191</v>
      </c>
      <c r="J37" s="26">
        <f t="shared" si="5"/>
        <v>0</v>
      </c>
      <c r="K37" s="26">
        <f t="shared" si="6"/>
        <v>23</v>
      </c>
      <c r="L37" s="12" t="b">
        <f t="shared" si="7"/>
        <v>1</v>
      </c>
      <c r="N37" s="3">
        <f t="shared" si="8"/>
        <v>32</v>
      </c>
      <c r="O37" s="10">
        <f>IF(N37&lt;=Parameters!$C$10,1,0)</f>
        <v>0</v>
      </c>
      <c r="P37" s="55">
        <f t="shared" si="23"/>
        <v>219.99999999999983</v>
      </c>
      <c r="Q37" s="55">
        <f>Parameters!$C$35*O37</f>
        <v>0</v>
      </c>
      <c r="R37" s="55">
        <f>ROUND((Q37+P37)*Parameters!$E$23,0)</f>
        <v>1</v>
      </c>
      <c r="S37" s="55">
        <f t="shared" si="9"/>
        <v>218.99999999999983</v>
      </c>
      <c r="T37" s="55">
        <f t="shared" si="10"/>
        <v>219.99999999999983</v>
      </c>
      <c r="U37" s="55">
        <f t="shared" si="11"/>
        <v>218.99999999999983</v>
      </c>
      <c r="V37" s="26">
        <f t="shared" si="12"/>
        <v>1</v>
      </c>
      <c r="W37" s="26">
        <f t="shared" si="13"/>
        <v>0</v>
      </c>
      <c r="X37" s="12" t="b">
        <f t="shared" si="14"/>
        <v>1</v>
      </c>
      <c r="Z37" s="3">
        <f t="shared" si="15"/>
        <v>32</v>
      </c>
      <c r="AA37" s="27">
        <f>Parameters!$C$7</f>
        <v>2500</v>
      </c>
      <c r="AB37" s="26">
        <f t="shared" si="16"/>
        <v>2168</v>
      </c>
      <c r="AC37" s="26">
        <f t="shared" si="17"/>
        <v>219.99999999999983</v>
      </c>
      <c r="AD37" s="26">
        <f t="shared" si="18"/>
        <v>112.00000000000017</v>
      </c>
      <c r="AE37" s="26">
        <f t="shared" si="0"/>
        <v>1</v>
      </c>
      <c r="AF37" s="26">
        <f t="shared" si="0"/>
        <v>23</v>
      </c>
      <c r="AG37" s="26">
        <f t="shared" si="19"/>
        <v>90.000000000000171</v>
      </c>
      <c r="AH37" s="28">
        <f t="shared" si="20"/>
        <v>0</v>
      </c>
      <c r="AJ37" s="26">
        <f>IF(AG37&gt;=0,AF37*Parameters!$C$25,MAX(AD37+AE37,0)*Parameters!$C$25)</f>
        <v>1150000</v>
      </c>
      <c r="AK37" s="26">
        <f>IF(AG37&lt;0,-AG37*Parameters!$C$27,0)</f>
        <v>0</v>
      </c>
      <c r="AL37" s="26">
        <f>MAX(AG37,0)*Parameters!$C$26</f>
        <v>1350000.0000000026</v>
      </c>
      <c r="AM37" s="29">
        <f t="shared" si="1"/>
        <v>2500000.0000000028</v>
      </c>
    </row>
    <row r="38" spans="2:39" x14ac:dyDescent="0.25">
      <c r="B38" s="3">
        <f t="shared" si="21"/>
        <v>33</v>
      </c>
      <c r="C38" s="3">
        <f>IF(B38&lt;=Parameters!$C$9,1,2)</f>
        <v>2</v>
      </c>
      <c r="D38" s="26">
        <f t="shared" si="22"/>
        <v>2191</v>
      </c>
      <c r="E38" s="26">
        <f>ROUND(D38*IF(C38=1,Parameters!$E$13,Parameters!$E$14),0)</f>
        <v>30</v>
      </c>
      <c r="F38" s="26">
        <f>ROUND((E38+D38)*IF(C38=1,Parameters!$E$17,Parameters!$E$18),0)</f>
        <v>7</v>
      </c>
      <c r="G38" s="26">
        <f t="shared" si="2"/>
        <v>2214</v>
      </c>
      <c r="H38" s="26">
        <f t="shared" si="3"/>
        <v>2191</v>
      </c>
      <c r="I38" s="26">
        <f t="shared" si="4"/>
        <v>2214</v>
      </c>
      <c r="J38" s="26">
        <f t="shared" si="5"/>
        <v>0</v>
      </c>
      <c r="K38" s="26">
        <f t="shared" si="6"/>
        <v>23</v>
      </c>
      <c r="L38" s="12" t="b">
        <f t="shared" si="7"/>
        <v>1</v>
      </c>
      <c r="N38" s="3">
        <f t="shared" si="8"/>
        <v>33</v>
      </c>
      <c r="O38" s="10">
        <f>IF(N38&lt;=Parameters!$C$10,1,0)</f>
        <v>0</v>
      </c>
      <c r="P38" s="55">
        <f t="shared" si="23"/>
        <v>218.99999999999983</v>
      </c>
      <c r="Q38" s="55">
        <f>Parameters!$C$35*O38</f>
        <v>0</v>
      </c>
      <c r="R38" s="55">
        <f>ROUND((Q38+P38)*Parameters!$E$23,0)</f>
        <v>1</v>
      </c>
      <c r="S38" s="55">
        <f t="shared" si="9"/>
        <v>217.99999999999983</v>
      </c>
      <c r="T38" s="55">
        <f t="shared" si="10"/>
        <v>218.99999999999983</v>
      </c>
      <c r="U38" s="55">
        <f t="shared" si="11"/>
        <v>217.99999999999983</v>
      </c>
      <c r="V38" s="26">
        <f t="shared" si="12"/>
        <v>1</v>
      </c>
      <c r="W38" s="26">
        <f t="shared" si="13"/>
        <v>0</v>
      </c>
      <c r="X38" s="12" t="b">
        <f t="shared" si="14"/>
        <v>1</v>
      </c>
      <c r="Z38" s="3">
        <f t="shared" si="15"/>
        <v>33</v>
      </c>
      <c r="AA38" s="27">
        <f>Parameters!$C$7</f>
        <v>2500</v>
      </c>
      <c r="AB38" s="26">
        <f t="shared" si="16"/>
        <v>2191</v>
      </c>
      <c r="AC38" s="26">
        <f t="shared" si="17"/>
        <v>218.99999999999983</v>
      </c>
      <c r="AD38" s="26">
        <f t="shared" si="18"/>
        <v>90.000000000000171</v>
      </c>
      <c r="AE38" s="26">
        <f t="shared" si="0"/>
        <v>1</v>
      </c>
      <c r="AF38" s="26">
        <f t="shared" si="0"/>
        <v>23</v>
      </c>
      <c r="AG38" s="26">
        <f t="shared" si="19"/>
        <v>68.000000000000171</v>
      </c>
      <c r="AH38" s="28">
        <f t="shared" si="20"/>
        <v>0</v>
      </c>
      <c r="AJ38" s="26">
        <f>IF(AG38&gt;=0,AF38*Parameters!$C$25,MAX(AD38+AE38,0)*Parameters!$C$25)</f>
        <v>1150000</v>
      </c>
      <c r="AK38" s="26">
        <f>IF(AG38&lt;0,-AG38*Parameters!$C$27,0)</f>
        <v>0</v>
      </c>
      <c r="AL38" s="26">
        <f>MAX(AG38,0)*Parameters!$C$26</f>
        <v>1020000.0000000026</v>
      </c>
      <c r="AM38" s="29">
        <f t="shared" si="1"/>
        <v>2170000.0000000028</v>
      </c>
    </row>
    <row r="39" spans="2:39" x14ac:dyDescent="0.25">
      <c r="B39" s="3">
        <f t="shared" si="21"/>
        <v>34</v>
      </c>
      <c r="C39" s="3">
        <f>IF(B39&lt;=Parameters!$C$9,1,2)</f>
        <v>2</v>
      </c>
      <c r="D39" s="26">
        <f t="shared" si="22"/>
        <v>2214</v>
      </c>
      <c r="E39" s="26">
        <f>ROUND(D39*IF(C39=1,Parameters!$E$13,Parameters!$E$14),0)</f>
        <v>31</v>
      </c>
      <c r="F39" s="26">
        <f>ROUND((E39+D39)*IF(C39=1,Parameters!$E$17,Parameters!$E$18),0)</f>
        <v>7</v>
      </c>
      <c r="G39" s="26">
        <f t="shared" si="2"/>
        <v>2238</v>
      </c>
      <c r="H39" s="26">
        <f t="shared" si="3"/>
        <v>2214</v>
      </c>
      <c r="I39" s="26">
        <f t="shared" si="4"/>
        <v>2238</v>
      </c>
      <c r="J39" s="26">
        <f t="shared" si="5"/>
        <v>0</v>
      </c>
      <c r="K39" s="26">
        <f t="shared" si="6"/>
        <v>24</v>
      </c>
      <c r="L39" s="12" t="b">
        <f t="shared" si="7"/>
        <v>1</v>
      </c>
      <c r="N39" s="3">
        <f t="shared" si="8"/>
        <v>34</v>
      </c>
      <c r="O39" s="10">
        <f>IF(N39&lt;=Parameters!$C$10,1,0)</f>
        <v>0</v>
      </c>
      <c r="P39" s="55">
        <f t="shared" si="23"/>
        <v>217.99999999999983</v>
      </c>
      <c r="Q39" s="55">
        <f>Parameters!$C$35*O39</f>
        <v>0</v>
      </c>
      <c r="R39" s="55">
        <f>ROUND((Q39+P39)*Parameters!$E$23,0)</f>
        <v>1</v>
      </c>
      <c r="S39" s="55">
        <f t="shared" si="9"/>
        <v>216.99999999999983</v>
      </c>
      <c r="T39" s="55">
        <f t="shared" si="10"/>
        <v>217.99999999999983</v>
      </c>
      <c r="U39" s="55">
        <f t="shared" si="11"/>
        <v>216.99999999999983</v>
      </c>
      <c r="V39" s="26">
        <f t="shared" si="12"/>
        <v>1</v>
      </c>
      <c r="W39" s="26">
        <f t="shared" si="13"/>
        <v>0</v>
      </c>
      <c r="X39" s="12" t="b">
        <f t="shared" si="14"/>
        <v>1</v>
      </c>
      <c r="Z39" s="3">
        <f t="shared" si="15"/>
        <v>34</v>
      </c>
      <c r="AA39" s="27">
        <f>Parameters!$C$7</f>
        <v>2500</v>
      </c>
      <c r="AB39" s="26">
        <f t="shared" si="16"/>
        <v>2214</v>
      </c>
      <c r="AC39" s="26">
        <f t="shared" si="17"/>
        <v>217.99999999999983</v>
      </c>
      <c r="AD39" s="26">
        <f t="shared" si="18"/>
        <v>68.000000000000171</v>
      </c>
      <c r="AE39" s="26">
        <f t="shared" si="0"/>
        <v>1</v>
      </c>
      <c r="AF39" s="26">
        <f t="shared" si="0"/>
        <v>24</v>
      </c>
      <c r="AG39" s="26">
        <f t="shared" si="19"/>
        <v>45.000000000000171</v>
      </c>
      <c r="AH39" s="28">
        <f t="shared" si="20"/>
        <v>0</v>
      </c>
      <c r="AJ39" s="26">
        <f>IF(AG39&gt;=0,AF39*Parameters!$C$25,MAX(AD39+AE39,0)*Parameters!$C$25)</f>
        <v>1200000</v>
      </c>
      <c r="AK39" s="26">
        <f>IF(AG39&lt;0,-AG39*Parameters!$C$27,0)</f>
        <v>0</v>
      </c>
      <c r="AL39" s="26">
        <f>MAX(AG39,0)*Parameters!$C$26</f>
        <v>675000.00000000256</v>
      </c>
      <c r="AM39" s="29">
        <f t="shared" si="1"/>
        <v>1875000.0000000026</v>
      </c>
    </row>
    <row r="40" spans="2:39" x14ac:dyDescent="0.25">
      <c r="B40" s="3">
        <f t="shared" si="21"/>
        <v>35</v>
      </c>
      <c r="C40" s="3">
        <f>IF(B40&lt;=Parameters!$C$9,1,2)</f>
        <v>2</v>
      </c>
      <c r="D40" s="26">
        <f t="shared" si="22"/>
        <v>2238</v>
      </c>
      <c r="E40" s="26">
        <f>ROUND(D40*IF(C40=1,Parameters!$E$13,Parameters!$E$14),0)</f>
        <v>31</v>
      </c>
      <c r="F40" s="26">
        <f>ROUND((E40+D40)*IF(C40=1,Parameters!$E$17,Parameters!$E$18),0)</f>
        <v>7</v>
      </c>
      <c r="G40" s="26">
        <f t="shared" si="2"/>
        <v>2262</v>
      </c>
      <c r="H40" s="26">
        <f t="shared" si="3"/>
        <v>2238</v>
      </c>
      <c r="I40" s="26">
        <f t="shared" si="4"/>
        <v>2262</v>
      </c>
      <c r="J40" s="26">
        <f t="shared" si="5"/>
        <v>0</v>
      </c>
      <c r="K40" s="26">
        <f t="shared" si="6"/>
        <v>24</v>
      </c>
      <c r="L40" s="12" t="b">
        <f t="shared" si="7"/>
        <v>1</v>
      </c>
      <c r="N40" s="3">
        <f t="shared" si="8"/>
        <v>35</v>
      </c>
      <c r="O40" s="10">
        <f>IF(N40&lt;=Parameters!$C$10,1,0)</f>
        <v>0</v>
      </c>
      <c r="P40" s="55">
        <f t="shared" si="23"/>
        <v>216.99999999999983</v>
      </c>
      <c r="Q40" s="55">
        <f>Parameters!$C$35*O40</f>
        <v>0</v>
      </c>
      <c r="R40" s="55">
        <f>ROUND((Q40+P40)*Parameters!$E$23,0)</f>
        <v>1</v>
      </c>
      <c r="S40" s="55">
        <f t="shared" si="9"/>
        <v>215.99999999999983</v>
      </c>
      <c r="T40" s="55">
        <f t="shared" si="10"/>
        <v>216.99999999999983</v>
      </c>
      <c r="U40" s="55">
        <f t="shared" si="11"/>
        <v>215.99999999999983</v>
      </c>
      <c r="V40" s="26">
        <f t="shared" si="12"/>
        <v>1</v>
      </c>
      <c r="W40" s="26">
        <f t="shared" si="13"/>
        <v>0</v>
      </c>
      <c r="X40" s="12" t="b">
        <f t="shared" si="14"/>
        <v>1</v>
      </c>
      <c r="Z40" s="3">
        <f t="shared" si="15"/>
        <v>35</v>
      </c>
      <c r="AA40" s="27">
        <f>Parameters!$C$7</f>
        <v>2500</v>
      </c>
      <c r="AB40" s="26">
        <f t="shared" si="16"/>
        <v>2238</v>
      </c>
      <c r="AC40" s="26">
        <f t="shared" si="17"/>
        <v>216.99999999999983</v>
      </c>
      <c r="AD40" s="26">
        <f t="shared" si="18"/>
        <v>45.000000000000171</v>
      </c>
      <c r="AE40" s="26">
        <f t="shared" si="0"/>
        <v>1</v>
      </c>
      <c r="AF40" s="26">
        <f t="shared" si="0"/>
        <v>24</v>
      </c>
      <c r="AG40" s="26">
        <f t="shared" si="19"/>
        <v>22.000000000000171</v>
      </c>
      <c r="AH40" s="28">
        <f t="shared" si="20"/>
        <v>0</v>
      </c>
      <c r="AJ40" s="26">
        <f>IF(AG40&gt;=0,AF40*Parameters!$C$25,MAX(AD40+AE40,0)*Parameters!$C$25)</f>
        <v>1200000</v>
      </c>
      <c r="AK40" s="26">
        <f>IF(AG40&lt;0,-AG40*Parameters!$C$27,0)</f>
        <v>0</v>
      </c>
      <c r="AL40" s="26">
        <f>MAX(AG40,0)*Parameters!$C$26</f>
        <v>330000.00000000256</v>
      </c>
      <c r="AM40" s="29">
        <f t="shared" si="1"/>
        <v>1530000.0000000026</v>
      </c>
    </row>
    <row r="41" spans="2:39" x14ac:dyDescent="0.25">
      <c r="B41" s="3">
        <f t="shared" si="21"/>
        <v>36</v>
      </c>
      <c r="C41" s="3">
        <f>IF(B41&lt;=Parameters!$C$9,1,2)</f>
        <v>2</v>
      </c>
      <c r="D41" s="26">
        <f t="shared" si="22"/>
        <v>2262</v>
      </c>
      <c r="E41" s="26">
        <f>ROUND(D41*IF(C41=1,Parameters!$E$13,Parameters!$E$14),0)</f>
        <v>31</v>
      </c>
      <c r="F41" s="26">
        <f>ROUND((E41+D41)*IF(C41=1,Parameters!$E$17,Parameters!$E$18),0)</f>
        <v>8</v>
      </c>
      <c r="G41" s="26">
        <f t="shared" si="2"/>
        <v>2285</v>
      </c>
      <c r="H41" s="26">
        <f t="shared" si="3"/>
        <v>2262</v>
      </c>
      <c r="I41" s="26">
        <f t="shared" si="4"/>
        <v>2285</v>
      </c>
      <c r="J41" s="26">
        <f t="shared" si="5"/>
        <v>0</v>
      </c>
      <c r="K41" s="26">
        <f t="shared" si="6"/>
        <v>23</v>
      </c>
      <c r="L41" s="12" t="b">
        <f t="shared" si="7"/>
        <v>1</v>
      </c>
      <c r="N41" s="3">
        <f t="shared" si="8"/>
        <v>36</v>
      </c>
      <c r="O41" s="10">
        <f>IF(N41&lt;=Parameters!$C$10,1,0)</f>
        <v>0</v>
      </c>
      <c r="P41" s="55">
        <f t="shared" si="23"/>
        <v>215.99999999999983</v>
      </c>
      <c r="Q41" s="55">
        <f>Parameters!$C$35*O41</f>
        <v>0</v>
      </c>
      <c r="R41" s="55">
        <f>ROUND((Q41+P41)*Parameters!$E$23,0)</f>
        <v>1</v>
      </c>
      <c r="S41" s="55">
        <f t="shared" si="9"/>
        <v>214.99999999999983</v>
      </c>
      <c r="T41" s="55">
        <f t="shared" si="10"/>
        <v>215.99999999999983</v>
      </c>
      <c r="U41" s="55">
        <f t="shared" si="11"/>
        <v>214.99999999999983</v>
      </c>
      <c r="V41" s="26">
        <f t="shared" si="12"/>
        <v>1</v>
      </c>
      <c r="W41" s="26">
        <f t="shared" si="13"/>
        <v>0</v>
      </c>
      <c r="X41" s="12" t="b">
        <f t="shared" si="14"/>
        <v>1</v>
      </c>
      <c r="Z41" s="3">
        <f t="shared" si="15"/>
        <v>36</v>
      </c>
      <c r="AA41" s="27">
        <f>Parameters!$C$7</f>
        <v>2500</v>
      </c>
      <c r="AB41" s="26">
        <f t="shared" si="16"/>
        <v>2262</v>
      </c>
      <c r="AC41" s="26">
        <f t="shared" si="17"/>
        <v>215.99999999999983</v>
      </c>
      <c r="AD41" s="26">
        <f t="shared" si="18"/>
        <v>22.000000000000171</v>
      </c>
      <c r="AE41" s="26">
        <f t="shared" si="0"/>
        <v>1</v>
      </c>
      <c r="AF41" s="26">
        <f t="shared" si="0"/>
        <v>23</v>
      </c>
      <c r="AG41" s="26">
        <f t="shared" si="19"/>
        <v>1.7053025658242404E-13</v>
      </c>
      <c r="AH41" s="28">
        <f t="shared" si="20"/>
        <v>0</v>
      </c>
      <c r="AJ41" s="26">
        <f>IF(AG41&gt;=0,AF41*Parameters!$C$25,MAX(AD41+AE41,0)*Parameters!$C$25)</f>
        <v>1150000</v>
      </c>
      <c r="AK41" s="26">
        <f>IF(AG41&lt;0,-AG41*Parameters!$C$27,0)</f>
        <v>0</v>
      </c>
      <c r="AL41" s="26">
        <f>MAX(AG41,0)*Parameters!$C$26</f>
        <v>2.5579538487363607E-9</v>
      </c>
      <c r="AM41" s="29">
        <f t="shared" si="1"/>
        <v>1150000.0000000026</v>
      </c>
    </row>
    <row r="43" spans="2:39" x14ac:dyDescent="0.25">
      <c r="B43" s="14" t="s">
        <v>7</v>
      </c>
      <c r="C43" s="14"/>
      <c r="D43" s="14"/>
      <c r="E43" s="15">
        <f>SUM(E6:E41)</f>
        <v>743</v>
      </c>
      <c r="F43" s="15">
        <f>SUM(F6:F41)</f>
        <v>458</v>
      </c>
      <c r="G43" s="14"/>
      <c r="H43" s="14"/>
      <c r="I43" s="14"/>
      <c r="J43" s="15">
        <f>SUM(J6:J41)</f>
        <v>109</v>
      </c>
      <c r="K43" s="15">
        <f>SUM(K6:K41)</f>
        <v>394</v>
      </c>
      <c r="N43" s="14" t="s">
        <v>7</v>
      </c>
      <c r="O43" s="14"/>
      <c r="P43" s="14"/>
      <c r="Q43" s="15">
        <f>SUM(Q6:Q41)</f>
        <v>50.999999999999702</v>
      </c>
      <c r="R43" s="15">
        <f>SUM(R6:R41)</f>
        <v>36</v>
      </c>
      <c r="S43" s="14"/>
      <c r="T43" s="14"/>
      <c r="U43" s="14"/>
      <c r="V43" s="15">
        <f>SUM(V6:V41)</f>
        <v>17</v>
      </c>
      <c r="W43" s="15">
        <f>SUM(W6:W41)</f>
        <v>31.999999999999829</v>
      </c>
      <c r="AJ43" s="30">
        <f>SUM(AJ6:AJ41)</f>
        <v>21299999.999999993</v>
      </c>
      <c r="AK43" s="30">
        <f>SUM(AK6:AK41)</f>
        <v>0</v>
      </c>
      <c r="AL43" s="30">
        <f>SUM(AL6:AL41)</f>
        <v>141675000.00000003</v>
      </c>
      <c r="AM43" s="30">
        <f>SUM(AM6:AM41)</f>
        <v>162975000</v>
      </c>
    </row>
    <row r="45" spans="2:39" x14ac:dyDescent="0.25">
      <c r="B45" t="s">
        <v>61</v>
      </c>
      <c r="E45" s="16">
        <f>D6+E43-F43</f>
        <v>2285</v>
      </c>
      <c r="N45" t="s">
        <v>61</v>
      </c>
      <c r="Q45" s="16">
        <f>P6+Q43-R43</f>
        <v>214.99999999999972</v>
      </c>
      <c r="AJ45" s="31">
        <f>AJ43/$AM$43</f>
        <v>0.13069489185457889</v>
      </c>
      <c r="AK45" s="31">
        <f>AK43/$AM$43</f>
        <v>0</v>
      </c>
      <c r="AL45" s="31">
        <f>AL43/$AM$43</f>
        <v>0.86930510814542128</v>
      </c>
      <c r="AM45" s="31">
        <f>AM43/$AM$43</f>
        <v>1</v>
      </c>
    </row>
    <row r="46" spans="2:39" x14ac:dyDescent="0.25">
      <c r="B46" t="s">
        <v>62</v>
      </c>
      <c r="E46" s="16">
        <f>I41</f>
        <v>2285</v>
      </c>
      <c r="F46" s="13" t="b">
        <f>E46=E45</f>
        <v>1</v>
      </c>
      <c r="N46" t="s">
        <v>62</v>
      </c>
      <c r="Q46" s="16">
        <f>U41</f>
        <v>214.99999999999983</v>
      </c>
      <c r="R46" s="13" t="b">
        <f>Q46=Q45</f>
        <v>1</v>
      </c>
    </row>
    <row r="48" spans="2:39" x14ac:dyDescent="0.25">
      <c r="B48" t="s">
        <v>63</v>
      </c>
      <c r="E48" s="17">
        <f>E46-D6</f>
        <v>285</v>
      </c>
      <c r="N48" t="s">
        <v>63</v>
      </c>
      <c r="Q48" s="17">
        <f>Q46-P6</f>
        <v>14.999999999999829</v>
      </c>
      <c r="AJ48" s="33"/>
      <c r="AK48" s="33"/>
      <c r="AL48" s="33"/>
    </row>
    <row r="49" spans="2:39" x14ac:dyDescent="0.25">
      <c r="B49" t="s">
        <v>8</v>
      </c>
      <c r="E49" s="18">
        <f>J43</f>
        <v>109</v>
      </c>
      <c r="N49" t="s">
        <v>8</v>
      </c>
      <c r="Q49" s="18">
        <f>V43</f>
        <v>17</v>
      </c>
      <c r="AJ49" s="83" t="s">
        <v>16</v>
      </c>
      <c r="AK49" s="83"/>
      <c r="AL49" s="83"/>
      <c r="AM49" s="23"/>
    </row>
    <row r="50" spans="2:39" x14ac:dyDescent="0.25">
      <c r="B50" t="s">
        <v>9</v>
      </c>
      <c r="E50" s="18">
        <f>K43</f>
        <v>394</v>
      </c>
      <c r="N50" t="s">
        <v>9</v>
      </c>
      <c r="Q50" s="18">
        <f>W43</f>
        <v>31.999999999999829</v>
      </c>
      <c r="AJ50" s="33" t="s">
        <v>17</v>
      </c>
      <c r="AK50" s="33"/>
      <c r="AL50" s="53">
        <v>0</v>
      </c>
    </row>
    <row r="51" spans="2:39" x14ac:dyDescent="0.25">
      <c r="B51" t="s">
        <v>10</v>
      </c>
      <c r="E51" s="13" t="b">
        <f>E50-E49=E48</f>
        <v>1</v>
      </c>
      <c r="N51" t="s">
        <v>10</v>
      </c>
      <c r="Q51" s="13" t="b">
        <f>Q50-Q49=Q48</f>
        <v>1</v>
      </c>
      <c r="AJ51" s="33" t="s">
        <v>18</v>
      </c>
      <c r="AK51" s="33"/>
      <c r="AL51" s="53">
        <f>AG41</f>
        <v>1.7053025658242404E-13</v>
      </c>
      <c r="AM51" t="str">
        <f>IF(ROUND(AL51-AL50,0)=0,"GOALSEEK OK","RUN GOAL SEEK AGAIN")</f>
        <v>GOALSEEK OK</v>
      </c>
    </row>
    <row r="52" spans="2:39" x14ac:dyDescent="0.25">
      <c r="AG52" s="23"/>
      <c r="AJ52" s="35" t="s">
        <v>19</v>
      </c>
      <c r="AK52" s="34"/>
      <c r="AL52" s="36">
        <f>AL50-AL51</f>
        <v>-1.7053025658242404E-13</v>
      </c>
      <c r="AM52" s="23"/>
    </row>
    <row r="53" spans="2:39" x14ac:dyDescent="0.25">
      <c r="AJ53" s="22"/>
      <c r="AK53" s="22"/>
      <c r="AL53" s="22"/>
      <c r="AM53" s="24"/>
    </row>
    <row r="54" spans="2:39" x14ac:dyDescent="0.25">
      <c r="AK54" s="22"/>
      <c r="AM54" s="24"/>
    </row>
    <row r="55" spans="2:39" x14ac:dyDescent="0.25">
      <c r="AK55" s="22"/>
      <c r="AM55" s="24"/>
    </row>
    <row r="56" spans="2:39" x14ac:dyDescent="0.25">
      <c r="AK56" s="22"/>
      <c r="AM56" s="24"/>
    </row>
    <row r="57" spans="2:39" ht="15.75" thickBot="1" x14ac:dyDescent="0.3">
      <c r="AJ57" s="14" t="s">
        <v>40</v>
      </c>
      <c r="AK57" s="22"/>
      <c r="AM57" s="24"/>
    </row>
    <row r="58" spans="2:39" x14ac:dyDescent="0.25">
      <c r="AJ58" s="40" t="s">
        <v>32</v>
      </c>
      <c r="AK58" s="41"/>
      <c r="AL58" s="51">
        <f>AVERAGE('Projections - Scn2'!AG6:AG41)</f>
        <v>300.61111111111109</v>
      </c>
      <c r="AM58" s="24"/>
    </row>
    <row r="59" spans="2:39" x14ac:dyDescent="0.25">
      <c r="AJ59" s="42" t="s">
        <v>33</v>
      </c>
      <c r="AK59" s="43"/>
      <c r="AL59" s="44">
        <f>AVERAGE(AG6:AG41)</f>
        <v>262.36111111111114</v>
      </c>
      <c r="AM59" s="24"/>
    </row>
    <row r="60" spans="2:39" x14ac:dyDescent="0.25">
      <c r="AJ60" s="42"/>
      <c r="AK60" s="43"/>
      <c r="AL60" s="45"/>
      <c r="AM60" s="24"/>
    </row>
    <row r="61" spans="2:39" x14ac:dyDescent="0.25">
      <c r="AJ61" s="42" t="s">
        <v>34</v>
      </c>
      <c r="AK61" s="43"/>
      <c r="AL61" s="44">
        <f>(AL59-AL58)*36*Parameters!C26</f>
        <v>-20654999.99999997</v>
      </c>
      <c r="AM61" s="37">
        <f>AL61/10^6</f>
        <v>-20.654999999999969</v>
      </c>
    </row>
    <row r="62" spans="2:39" x14ac:dyDescent="0.25">
      <c r="AC62" s="52"/>
      <c r="AJ62" s="42"/>
      <c r="AK62" s="43"/>
      <c r="AL62" s="45"/>
      <c r="AM62" s="24"/>
    </row>
    <row r="63" spans="2:39" x14ac:dyDescent="0.25">
      <c r="AJ63" s="42" t="s">
        <v>35</v>
      </c>
      <c r="AK63" s="43"/>
      <c r="AL63" s="45">
        <f>SUM('Projections - Scn2'!AF6:AF41)</f>
        <v>394</v>
      </c>
      <c r="AM63" s="24"/>
    </row>
    <row r="64" spans="2:39" x14ac:dyDescent="0.25">
      <c r="AJ64" s="42" t="s">
        <v>36</v>
      </c>
      <c r="AK64" s="46"/>
      <c r="AL64" s="44">
        <f>SUM(AF6:AF41)</f>
        <v>425.99999999999983</v>
      </c>
    </row>
    <row r="65" spans="36:39" x14ac:dyDescent="0.25">
      <c r="AJ65" s="42"/>
      <c r="AK65" s="46"/>
      <c r="AL65" s="45"/>
    </row>
    <row r="66" spans="36:39" x14ac:dyDescent="0.25">
      <c r="AJ66" s="42" t="s">
        <v>37</v>
      </c>
      <c r="AK66" s="46"/>
      <c r="AL66" s="47">
        <f>(AL64-AL63)*Parameters!C25</f>
        <v>1599999.9999999914</v>
      </c>
      <c r="AM66" s="37">
        <f>AL66/10^6</f>
        <v>1.5999999999999914</v>
      </c>
    </row>
    <row r="67" spans="36:39" x14ac:dyDescent="0.25">
      <c r="AJ67" s="42"/>
      <c r="AK67" s="46"/>
      <c r="AL67" s="45"/>
    </row>
    <row r="68" spans="36:39" x14ac:dyDescent="0.25">
      <c r="AJ68" s="42" t="s">
        <v>38</v>
      </c>
      <c r="AK68" s="46"/>
      <c r="AL68" s="44">
        <f>AL61+AL66</f>
        <v>-19054999.999999978</v>
      </c>
      <c r="AM68" s="37">
        <f>AL68/10^6</f>
        <v>-19.054999999999978</v>
      </c>
    </row>
    <row r="69" spans="36:39" x14ac:dyDescent="0.25">
      <c r="AJ69" s="42"/>
      <c r="AK69" s="46"/>
      <c r="AL69" s="45"/>
    </row>
    <row r="70" spans="36:39" ht="15.75" thickBot="1" x14ac:dyDescent="0.3">
      <c r="AJ70" s="48" t="s">
        <v>39</v>
      </c>
      <c r="AK70" s="49"/>
      <c r="AL70" s="50">
        <f>AM43-'Projections - Scn2'!AM43</f>
        <v>-19055000</v>
      </c>
      <c r="AM70" s="37">
        <f>AL70/10^6</f>
        <v>-19.055</v>
      </c>
    </row>
  </sheetData>
  <mergeCells count="5">
    <mergeCell ref="B4:K4"/>
    <mergeCell ref="N4:W4"/>
    <mergeCell ref="Z4:AG4"/>
    <mergeCell ref="AJ49:AL49"/>
    <mergeCell ref="AJ4:AM4"/>
  </mergeCells>
  <hyperlinks>
    <hyperlink ref="G5" r:id="rId1" display="rod@end"/>
    <hyperlink ref="S5" r:id="rId2" display="rod@end"/>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9"/>
  <sheetViews>
    <sheetView showGridLines="0" tabSelected="1" topLeftCell="I46" workbookViewId="0">
      <selection activeCell="Y6" sqref="Y6"/>
    </sheetView>
  </sheetViews>
  <sheetFormatPr defaultRowHeight="15" x14ac:dyDescent="0.25"/>
  <cols>
    <col min="2" max="2" width="13.85546875" bestFit="1" customWidth="1"/>
    <col min="3" max="3" width="12.140625" bestFit="1" customWidth="1"/>
    <col min="4" max="4" width="9.5703125" bestFit="1" customWidth="1"/>
    <col min="6" max="6" width="14.85546875" customWidth="1"/>
    <col min="19" max="19" width="12.5703125" bestFit="1" customWidth="1"/>
    <col min="20" max="20" width="15.42578125" bestFit="1" customWidth="1"/>
    <col min="21" max="21" width="16.140625" bestFit="1" customWidth="1"/>
    <col min="22" max="22" width="12.5703125" bestFit="1" customWidth="1"/>
  </cols>
  <sheetData>
    <row r="3" spans="1:23" x14ac:dyDescent="0.25">
      <c r="A3" t="s">
        <v>0</v>
      </c>
      <c r="B3" t="s">
        <v>53</v>
      </c>
      <c r="C3" t="s">
        <v>54</v>
      </c>
      <c r="D3" t="s">
        <v>7</v>
      </c>
      <c r="F3" t="s">
        <v>21</v>
      </c>
      <c r="G3" t="s">
        <v>22</v>
      </c>
      <c r="T3" t="s">
        <v>27</v>
      </c>
      <c r="U3" t="s">
        <v>45</v>
      </c>
      <c r="V3" t="s">
        <v>24</v>
      </c>
      <c r="W3" t="s">
        <v>7</v>
      </c>
    </row>
    <row r="4" spans="1:23" x14ac:dyDescent="0.25">
      <c r="A4">
        <f>'Projections - Base'!B6</f>
        <v>1</v>
      </c>
      <c r="B4" s="22">
        <f>'Projections - Base'!G6</f>
        <v>1994</v>
      </c>
      <c r="C4" s="22">
        <f>'Projections - Base'!S6</f>
        <v>210</v>
      </c>
      <c r="D4" s="22">
        <f>B4+C4</f>
        <v>2204</v>
      </c>
      <c r="F4" s="22">
        <f>'Projections - Base'!AG6</f>
        <v>296</v>
      </c>
      <c r="G4">
        <f>Parameters!C7-Parameters!C5-Parameters!C6</f>
        <v>300</v>
      </c>
      <c r="S4" t="s">
        <v>23</v>
      </c>
      <c r="T4" s="37">
        <f>'Projections - Base'!AJ43/10^6</f>
        <v>21.5</v>
      </c>
      <c r="U4" s="37">
        <f>'Projections - Base'!AK43/10^6</f>
        <v>57.12</v>
      </c>
      <c r="V4" s="37">
        <f>'Projections - Base'!AL43/10^6</f>
        <v>88.575000000000003</v>
      </c>
      <c r="W4" s="38">
        <f>SUM(T4:V4)</f>
        <v>167.19499999999999</v>
      </c>
    </row>
    <row r="5" spans="1:23" x14ac:dyDescent="0.25">
      <c r="A5">
        <f>'Projections - Base'!B7</f>
        <v>2</v>
      </c>
      <c r="B5" s="22">
        <f>'Projections - Base'!G7</f>
        <v>1988</v>
      </c>
      <c r="C5" s="22">
        <f>'Projections - Base'!S7</f>
        <v>220</v>
      </c>
      <c r="D5" s="22">
        <f t="shared" ref="D5:D39" si="0">B5+C5</f>
        <v>2208</v>
      </c>
      <c r="F5" s="22">
        <f>'Projections - Base'!AG7</f>
        <v>292</v>
      </c>
      <c r="G5">
        <f>G4</f>
        <v>300</v>
      </c>
      <c r="S5" t="s">
        <v>25</v>
      </c>
      <c r="T5" s="37">
        <f>'Projections - Scn2'!AJ43/10^6</f>
        <v>19.7</v>
      </c>
      <c r="U5" s="37">
        <f>'Projections - Scn2'!AK43/10^6</f>
        <v>0</v>
      </c>
      <c r="V5" s="37">
        <f>'Projections - Scn2'!AL43/10^6</f>
        <v>162.33000000000001</v>
      </c>
      <c r="W5" s="38">
        <f>SUM(T5:V5)</f>
        <v>182.03</v>
      </c>
    </row>
    <row r="6" spans="1:23" x14ac:dyDescent="0.25">
      <c r="A6">
        <f>'Projections - Base'!B8</f>
        <v>3</v>
      </c>
      <c r="B6" s="22">
        <f>'Projections - Base'!G8</f>
        <v>1982</v>
      </c>
      <c r="C6" s="22">
        <f>'Projections - Base'!S8</f>
        <v>230</v>
      </c>
      <c r="D6" s="22">
        <f t="shared" si="0"/>
        <v>2212</v>
      </c>
      <c r="F6" s="22">
        <f>'Projections - Base'!AG8</f>
        <v>288</v>
      </c>
      <c r="G6">
        <f t="shared" ref="G6:G39" si="1">G5</f>
        <v>300</v>
      </c>
      <c r="S6" t="s">
        <v>26</v>
      </c>
      <c r="T6" s="37">
        <f>'Projections - Scn3'!AJ43/10^6</f>
        <v>21.299999999999994</v>
      </c>
      <c r="U6" s="37">
        <f>'Projections - Scn3'!AK43/10^6</f>
        <v>0</v>
      </c>
      <c r="V6" s="37">
        <f>'Projections - Scn3'!AL43/10^6</f>
        <v>141.67500000000004</v>
      </c>
      <c r="W6" s="38">
        <f>SUM(T6:V6)</f>
        <v>162.97500000000002</v>
      </c>
    </row>
    <row r="7" spans="1:23" x14ac:dyDescent="0.25">
      <c r="A7">
        <f>'Projections - Base'!B9</f>
        <v>4</v>
      </c>
      <c r="B7" s="22">
        <f>'Projections - Base'!G9</f>
        <v>1976</v>
      </c>
      <c r="C7" s="22">
        <f>'Projections - Base'!S9</f>
        <v>240</v>
      </c>
      <c r="D7" s="22">
        <f t="shared" si="0"/>
        <v>2216</v>
      </c>
      <c r="F7" s="22">
        <f>'Projections - Base'!AG9</f>
        <v>284</v>
      </c>
      <c r="G7">
        <f t="shared" si="1"/>
        <v>300</v>
      </c>
    </row>
    <row r="8" spans="1:23" x14ac:dyDescent="0.25">
      <c r="A8">
        <f>'Projections - Base'!B10</f>
        <v>5</v>
      </c>
      <c r="B8" s="22">
        <f>'Projections - Base'!G10</f>
        <v>1970</v>
      </c>
      <c r="C8" s="22">
        <f>'Projections - Base'!S10</f>
        <v>250</v>
      </c>
      <c r="D8" s="22">
        <f t="shared" si="0"/>
        <v>2220</v>
      </c>
      <c r="F8" s="22">
        <f>'Projections - Base'!AG10</f>
        <v>280</v>
      </c>
      <c r="G8">
        <f t="shared" si="1"/>
        <v>300</v>
      </c>
    </row>
    <row r="9" spans="1:23" x14ac:dyDescent="0.25">
      <c r="A9">
        <f>'Projections - Base'!B11</f>
        <v>6</v>
      </c>
      <c r="B9" s="22">
        <f>'Projections - Base'!G11</f>
        <v>1964</v>
      </c>
      <c r="C9" s="22">
        <f>'Projections - Base'!S11</f>
        <v>260</v>
      </c>
      <c r="D9" s="22">
        <f t="shared" si="0"/>
        <v>2224</v>
      </c>
      <c r="F9" s="22">
        <f>'Projections - Base'!AG11</f>
        <v>276</v>
      </c>
      <c r="G9">
        <f t="shared" si="1"/>
        <v>300</v>
      </c>
    </row>
    <row r="10" spans="1:23" x14ac:dyDescent="0.25">
      <c r="A10">
        <f>'Projections - Base'!B12</f>
        <v>7</v>
      </c>
      <c r="B10" s="22">
        <f>'Projections - Base'!G12</f>
        <v>1958</v>
      </c>
      <c r="C10" s="22">
        <f>'Projections - Base'!S12</f>
        <v>270</v>
      </c>
      <c r="D10" s="22">
        <f t="shared" si="0"/>
        <v>2228</v>
      </c>
      <c r="F10" s="22">
        <f>'Projections - Base'!AG12</f>
        <v>272</v>
      </c>
      <c r="G10">
        <f t="shared" si="1"/>
        <v>300</v>
      </c>
    </row>
    <row r="11" spans="1:23" x14ac:dyDescent="0.25">
      <c r="A11">
        <f>'Projections - Base'!B13</f>
        <v>8</v>
      </c>
      <c r="B11" s="22">
        <f>'Projections - Base'!G13</f>
        <v>1952</v>
      </c>
      <c r="C11" s="22">
        <f>'Projections - Base'!S13</f>
        <v>280</v>
      </c>
      <c r="D11" s="22">
        <f t="shared" si="0"/>
        <v>2232</v>
      </c>
      <c r="F11" s="22">
        <f>'Projections - Base'!AG13</f>
        <v>268</v>
      </c>
      <c r="G11">
        <f t="shared" si="1"/>
        <v>300</v>
      </c>
    </row>
    <row r="12" spans="1:23" x14ac:dyDescent="0.25">
      <c r="A12">
        <f>'Projections - Base'!B14</f>
        <v>9</v>
      </c>
      <c r="B12" s="22">
        <f>'Projections - Base'!G14</f>
        <v>1946</v>
      </c>
      <c r="C12" s="22">
        <f>'Projections - Base'!S14</f>
        <v>290</v>
      </c>
      <c r="D12" s="22">
        <f t="shared" si="0"/>
        <v>2236</v>
      </c>
      <c r="F12" s="22">
        <f>'Projections - Base'!AG14</f>
        <v>264</v>
      </c>
      <c r="G12">
        <f t="shared" si="1"/>
        <v>300</v>
      </c>
    </row>
    <row r="13" spans="1:23" x14ac:dyDescent="0.25">
      <c r="A13">
        <f>'Projections - Base'!B15</f>
        <v>10</v>
      </c>
      <c r="B13" s="22">
        <f>'Projections - Base'!G15</f>
        <v>1940</v>
      </c>
      <c r="C13" s="22">
        <f>'Projections - Base'!S15</f>
        <v>300</v>
      </c>
      <c r="D13" s="22">
        <f t="shared" si="0"/>
        <v>2240</v>
      </c>
      <c r="F13" s="22">
        <f>'Projections - Base'!AG15</f>
        <v>260</v>
      </c>
      <c r="G13">
        <f t="shared" si="1"/>
        <v>300</v>
      </c>
    </row>
    <row r="14" spans="1:23" x14ac:dyDescent="0.25">
      <c r="A14">
        <f>'Projections - Base'!B16</f>
        <v>11</v>
      </c>
      <c r="B14" s="22">
        <f>'Projections - Base'!G16</f>
        <v>1933</v>
      </c>
      <c r="C14" s="22">
        <f>'Projections - Base'!S16</f>
        <v>310</v>
      </c>
      <c r="D14" s="22">
        <f t="shared" si="0"/>
        <v>2243</v>
      </c>
      <c r="F14" s="22">
        <f>'Projections - Base'!AG16</f>
        <v>257</v>
      </c>
      <c r="G14">
        <f t="shared" si="1"/>
        <v>300</v>
      </c>
    </row>
    <row r="15" spans="1:23" x14ac:dyDescent="0.25">
      <c r="A15">
        <f>'Projections - Base'!B17</f>
        <v>12</v>
      </c>
      <c r="B15" s="22">
        <f>'Projections - Base'!G17</f>
        <v>1927</v>
      </c>
      <c r="C15" s="22">
        <f>'Projections - Base'!S17</f>
        <v>320</v>
      </c>
      <c r="D15" s="22">
        <f t="shared" si="0"/>
        <v>2247</v>
      </c>
      <c r="F15" s="22">
        <f>'Projections - Base'!AG17</f>
        <v>253</v>
      </c>
      <c r="G15">
        <f t="shared" si="1"/>
        <v>300</v>
      </c>
    </row>
    <row r="16" spans="1:23" x14ac:dyDescent="0.25">
      <c r="A16">
        <f>'Projections - Base'!B18</f>
        <v>13</v>
      </c>
      <c r="B16" s="22">
        <f>'Projections - Base'!G18</f>
        <v>1921</v>
      </c>
      <c r="C16" s="22">
        <f>'Projections - Base'!S18</f>
        <v>330</v>
      </c>
      <c r="D16" s="22">
        <f t="shared" si="0"/>
        <v>2251</v>
      </c>
      <c r="F16" s="22">
        <f>'Projections - Base'!AG18</f>
        <v>249</v>
      </c>
      <c r="G16">
        <f t="shared" si="1"/>
        <v>300</v>
      </c>
    </row>
    <row r="17" spans="1:7" x14ac:dyDescent="0.25">
      <c r="A17">
        <f>'Projections - Base'!B19</f>
        <v>14</v>
      </c>
      <c r="B17" s="22">
        <f>'Projections - Base'!G19</f>
        <v>1915</v>
      </c>
      <c r="C17" s="22">
        <f>'Projections - Base'!S19</f>
        <v>340</v>
      </c>
      <c r="D17" s="22">
        <f t="shared" si="0"/>
        <v>2255</v>
      </c>
      <c r="F17" s="22">
        <f>'Projections - Base'!AG19</f>
        <v>245</v>
      </c>
      <c r="G17">
        <f t="shared" si="1"/>
        <v>300</v>
      </c>
    </row>
    <row r="18" spans="1:7" x14ac:dyDescent="0.25">
      <c r="A18">
        <f>'Projections - Base'!B20</f>
        <v>15</v>
      </c>
      <c r="B18" s="22">
        <f>'Projections - Base'!G20</f>
        <v>1909</v>
      </c>
      <c r="C18" s="22">
        <f>'Projections - Base'!S20</f>
        <v>350</v>
      </c>
      <c r="D18" s="22">
        <f t="shared" si="0"/>
        <v>2259</v>
      </c>
      <c r="F18" s="22">
        <f>'Projections - Base'!AG20</f>
        <v>241</v>
      </c>
      <c r="G18">
        <f t="shared" si="1"/>
        <v>300</v>
      </c>
    </row>
    <row r="19" spans="1:7" x14ac:dyDescent="0.25">
      <c r="A19">
        <f>'Projections - Base'!B21</f>
        <v>16</v>
      </c>
      <c r="B19" s="22">
        <f>'Projections - Base'!G21</f>
        <v>1903</v>
      </c>
      <c r="C19" s="22">
        <f>'Projections - Base'!S21</f>
        <v>360</v>
      </c>
      <c r="D19" s="22">
        <f t="shared" si="0"/>
        <v>2263</v>
      </c>
      <c r="F19" s="22">
        <f>'Projections - Base'!AG21</f>
        <v>237</v>
      </c>
      <c r="G19">
        <f t="shared" si="1"/>
        <v>300</v>
      </c>
    </row>
    <row r="20" spans="1:7" x14ac:dyDescent="0.25">
      <c r="A20">
        <f>'Projections - Base'!B22</f>
        <v>17</v>
      </c>
      <c r="B20" s="22">
        <f>'Projections - Base'!G22</f>
        <v>1897</v>
      </c>
      <c r="C20" s="22">
        <f>'Projections - Base'!S22</f>
        <v>369</v>
      </c>
      <c r="D20" s="22">
        <f t="shared" si="0"/>
        <v>2266</v>
      </c>
      <c r="F20" s="22">
        <f>'Projections - Base'!AG22</f>
        <v>234</v>
      </c>
      <c r="G20">
        <f t="shared" si="1"/>
        <v>300</v>
      </c>
    </row>
    <row r="21" spans="1:7" x14ac:dyDescent="0.25">
      <c r="A21">
        <f>'Projections - Base'!B23</f>
        <v>18</v>
      </c>
      <c r="B21" s="22">
        <f>'Projections - Base'!G23</f>
        <v>1891</v>
      </c>
      <c r="C21" s="22">
        <f>'Projections - Base'!S23</f>
        <v>378</v>
      </c>
      <c r="D21" s="22">
        <f t="shared" si="0"/>
        <v>2269</v>
      </c>
      <c r="F21" s="22">
        <f>'Projections - Base'!AG23</f>
        <v>231</v>
      </c>
      <c r="G21">
        <f t="shared" si="1"/>
        <v>300</v>
      </c>
    </row>
    <row r="22" spans="1:7" x14ac:dyDescent="0.25">
      <c r="A22">
        <f>'Projections - Base'!B24</f>
        <v>19</v>
      </c>
      <c r="B22" s="22">
        <f>'Projections - Base'!G24</f>
        <v>1911</v>
      </c>
      <c r="C22" s="22">
        <f>'Projections - Base'!S24</f>
        <v>387</v>
      </c>
      <c r="D22" s="22">
        <f t="shared" si="0"/>
        <v>2298</v>
      </c>
      <c r="F22" s="22">
        <f>'Projections - Base'!AG24</f>
        <v>202</v>
      </c>
      <c r="G22">
        <f t="shared" si="1"/>
        <v>300</v>
      </c>
    </row>
    <row r="23" spans="1:7" x14ac:dyDescent="0.25">
      <c r="A23">
        <f>'Projections - Base'!B25</f>
        <v>20</v>
      </c>
      <c r="B23" s="22">
        <f>'Projections - Base'!G25</f>
        <v>1932</v>
      </c>
      <c r="C23" s="22">
        <f>'Projections - Base'!S25</f>
        <v>385</v>
      </c>
      <c r="D23" s="22">
        <f t="shared" si="0"/>
        <v>2317</v>
      </c>
      <c r="F23" s="22">
        <f>'Projections - Base'!AG25</f>
        <v>183</v>
      </c>
      <c r="G23">
        <f t="shared" si="1"/>
        <v>300</v>
      </c>
    </row>
    <row r="24" spans="1:7" x14ac:dyDescent="0.25">
      <c r="A24">
        <f>'Projections - Base'!B26</f>
        <v>21</v>
      </c>
      <c r="B24" s="22">
        <f>'Projections - Base'!G26</f>
        <v>1953</v>
      </c>
      <c r="C24" s="22">
        <f>'Projections - Base'!S26</f>
        <v>383</v>
      </c>
      <c r="D24" s="22">
        <f t="shared" si="0"/>
        <v>2336</v>
      </c>
      <c r="F24" s="22">
        <f>'Projections - Base'!AG26</f>
        <v>164</v>
      </c>
      <c r="G24">
        <f t="shared" si="1"/>
        <v>300</v>
      </c>
    </row>
    <row r="25" spans="1:7" x14ac:dyDescent="0.25">
      <c r="A25">
        <f>'Projections - Base'!B27</f>
        <v>22</v>
      </c>
      <c r="B25" s="22">
        <f>'Projections - Base'!G27</f>
        <v>1974</v>
      </c>
      <c r="C25" s="22">
        <f>'Projections - Base'!S27</f>
        <v>381</v>
      </c>
      <c r="D25" s="22">
        <f t="shared" si="0"/>
        <v>2355</v>
      </c>
      <c r="F25" s="22">
        <f>'Projections - Base'!AG27</f>
        <v>145</v>
      </c>
      <c r="G25">
        <f t="shared" si="1"/>
        <v>300</v>
      </c>
    </row>
    <row r="26" spans="1:7" x14ac:dyDescent="0.25">
      <c r="A26">
        <f>'Projections - Base'!B28</f>
        <v>23</v>
      </c>
      <c r="B26" s="22">
        <f>'Projections - Base'!G28</f>
        <v>1994</v>
      </c>
      <c r="C26" s="22">
        <f>'Projections - Base'!S28</f>
        <v>379</v>
      </c>
      <c r="D26" s="22">
        <f t="shared" si="0"/>
        <v>2373</v>
      </c>
      <c r="F26" s="22">
        <f>'Projections - Base'!AG28</f>
        <v>127</v>
      </c>
      <c r="G26">
        <f t="shared" si="1"/>
        <v>300</v>
      </c>
    </row>
    <row r="27" spans="1:7" x14ac:dyDescent="0.25">
      <c r="A27">
        <f>'Projections - Base'!B29</f>
        <v>24</v>
      </c>
      <c r="B27" s="22">
        <f>'Projections - Base'!G29</f>
        <v>2015</v>
      </c>
      <c r="C27" s="22">
        <f>'Projections - Base'!S29</f>
        <v>377</v>
      </c>
      <c r="D27" s="22">
        <f t="shared" si="0"/>
        <v>2392</v>
      </c>
      <c r="F27" s="22">
        <f>'Projections - Base'!AG29</f>
        <v>108</v>
      </c>
      <c r="G27">
        <f t="shared" si="1"/>
        <v>300</v>
      </c>
    </row>
    <row r="28" spans="1:7" x14ac:dyDescent="0.25">
      <c r="A28">
        <f>'Projections - Base'!B30</f>
        <v>25</v>
      </c>
      <c r="B28" s="22">
        <f>'Projections - Base'!G30</f>
        <v>2036</v>
      </c>
      <c r="C28" s="22">
        <f>'Projections - Base'!S30</f>
        <v>375</v>
      </c>
      <c r="D28" s="22">
        <f t="shared" si="0"/>
        <v>2411</v>
      </c>
      <c r="F28" s="22">
        <f>'Projections - Base'!AG30</f>
        <v>89</v>
      </c>
      <c r="G28">
        <f t="shared" si="1"/>
        <v>300</v>
      </c>
    </row>
    <row r="29" spans="1:7" x14ac:dyDescent="0.25">
      <c r="A29">
        <f>'Projections - Base'!B31</f>
        <v>26</v>
      </c>
      <c r="B29" s="22">
        <f>'Projections - Base'!G31</f>
        <v>2057</v>
      </c>
      <c r="C29" s="22">
        <f>'Projections - Base'!S31</f>
        <v>373</v>
      </c>
      <c r="D29" s="22">
        <f t="shared" si="0"/>
        <v>2430</v>
      </c>
      <c r="F29" s="22">
        <f>'Projections - Base'!AG31</f>
        <v>70</v>
      </c>
      <c r="G29">
        <f t="shared" si="1"/>
        <v>300</v>
      </c>
    </row>
    <row r="30" spans="1:7" x14ac:dyDescent="0.25">
      <c r="A30">
        <f>'Projections - Base'!B32</f>
        <v>27</v>
      </c>
      <c r="B30" s="22">
        <f>'Projections - Base'!G32</f>
        <v>2079</v>
      </c>
      <c r="C30" s="22">
        <f>'Projections - Base'!S32</f>
        <v>371</v>
      </c>
      <c r="D30" s="22">
        <f t="shared" si="0"/>
        <v>2450</v>
      </c>
      <c r="F30" s="22">
        <f>'Projections - Base'!AG32</f>
        <v>50</v>
      </c>
      <c r="G30">
        <f t="shared" si="1"/>
        <v>300</v>
      </c>
    </row>
    <row r="31" spans="1:7" x14ac:dyDescent="0.25">
      <c r="A31">
        <f>'Projections - Base'!B33</f>
        <v>28</v>
      </c>
      <c r="B31" s="22">
        <f>'Projections - Base'!G33</f>
        <v>2101</v>
      </c>
      <c r="C31" s="22">
        <f>'Projections - Base'!S33</f>
        <v>369</v>
      </c>
      <c r="D31" s="22">
        <f t="shared" si="0"/>
        <v>2470</v>
      </c>
      <c r="F31" s="22">
        <f>'Projections - Base'!AG33</f>
        <v>30</v>
      </c>
      <c r="G31">
        <f t="shared" si="1"/>
        <v>300</v>
      </c>
    </row>
    <row r="32" spans="1:7" x14ac:dyDescent="0.25">
      <c r="A32">
        <f>'Projections - Base'!B34</f>
        <v>29</v>
      </c>
      <c r="B32" s="22">
        <f>'Projections - Base'!G34</f>
        <v>2123</v>
      </c>
      <c r="C32" s="22">
        <f>'Projections - Base'!S34</f>
        <v>367</v>
      </c>
      <c r="D32" s="22">
        <f t="shared" si="0"/>
        <v>2490</v>
      </c>
      <c r="F32" s="22">
        <f>'Projections - Base'!AG34</f>
        <v>10</v>
      </c>
      <c r="G32">
        <f t="shared" si="1"/>
        <v>300</v>
      </c>
    </row>
    <row r="33" spans="1:7" x14ac:dyDescent="0.25">
      <c r="A33">
        <f>'Projections - Base'!B35</f>
        <v>30</v>
      </c>
      <c r="B33" s="22">
        <f>'Projections - Base'!G35</f>
        <v>2145</v>
      </c>
      <c r="C33" s="22">
        <f>'Projections - Base'!S35</f>
        <v>366</v>
      </c>
      <c r="D33" s="22">
        <f t="shared" si="0"/>
        <v>2511</v>
      </c>
      <c r="F33" s="22">
        <f>'Projections - Base'!AG35</f>
        <v>-11</v>
      </c>
      <c r="G33">
        <f t="shared" si="1"/>
        <v>300</v>
      </c>
    </row>
    <row r="34" spans="1:7" x14ac:dyDescent="0.25">
      <c r="A34">
        <f>'Projections - Base'!B36</f>
        <v>31</v>
      </c>
      <c r="B34" s="22">
        <f>'Projections - Base'!G36</f>
        <v>2168</v>
      </c>
      <c r="C34" s="22">
        <f>'Projections - Base'!S36</f>
        <v>365</v>
      </c>
      <c r="D34" s="22">
        <f t="shared" si="0"/>
        <v>2533</v>
      </c>
      <c r="F34" s="22">
        <f>'Projections - Base'!AG36</f>
        <v>-33</v>
      </c>
      <c r="G34">
        <f t="shared" si="1"/>
        <v>300</v>
      </c>
    </row>
    <row r="35" spans="1:7" x14ac:dyDescent="0.25">
      <c r="A35">
        <f>'Projections - Base'!B37</f>
        <v>32</v>
      </c>
      <c r="B35" s="22">
        <f>'Projections - Base'!G37</f>
        <v>2191</v>
      </c>
      <c r="C35" s="22">
        <f>'Projections - Base'!S37</f>
        <v>364</v>
      </c>
      <c r="D35" s="22">
        <f t="shared" si="0"/>
        <v>2555</v>
      </c>
      <c r="F35" s="22">
        <f>'Projections - Base'!AG37</f>
        <v>-55</v>
      </c>
      <c r="G35">
        <f t="shared" si="1"/>
        <v>300</v>
      </c>
    </row>
    <row r="36" spans="1:7" x14ac:dyDescent="0.25">
      <c r="A36">
        <f>'Projections - Base'!B38</f>
        <v>33</v>
      </c>
      <c r="B36" s="22">
        <f>'Projections - Base'!G38</f>
        <v>2214</v>
      </c>
      <c r="C36" s="22">
        <f>'Projections - Base'!S38</f>
        <v>363</v>
      </c>
      <c r="D36" s="22">
        <f t="shared" si="0"/>
        <v>2577</v>
      </c>
      <c r="F36" s="22">
        <f>'Projections - Base'!AG38</f>
        <v>-77</v>
      </c>
      <c r="G36">
        <f t="shared" si="1"/>
        <v>300</v>
      </c>
    </row>
    <row r="37" spans="1:7" x14ac:dyDescent="0.25">
      <c r="A37">
        <f>'Projections - Base'!B39</f>
        <v>34</v>
      </c>
      <c r="B37" s="22">
        <f>'Projections - Base'!G39</f>
        <v>2238</v>
      </c>
      <c r="C37" s="22">
        <f>'Projections - Base'!S39</f>
        <v>362</v>
      </c>
      <c r="D37" s="22">
        <f t="shared" si="0"/>
        <v>2600</v>
      </c>
      <c r="F37" s="22">
        <f>'Projections - Base'!AG39</f>
        <v>-100</v>
      </c>
      <c r="G37">
        <f t="shared" si="1"/>
        <v>300</v>
      </c>
    </row>
    <row r="38" spans="1:7" x14ac:dyDescent="0.25">
      <c r="A38">
        <f>'Projections - Base'!B40</f>
        <v>35</v>
      </c>
      <c r="B38" s="22">
        <f>'Projections - Base'!G40</f>
        <v>2262</v>
      </c>
      <c r="C38" s="22">
        <f>'Projections - Base'!S40</f>
        <v>361</v>
      </c>
      <c r="D38" s="22">
        <f t="shared" si="0"/>
        <v>2623</v>
      </c>
      <c r="F38" s="22">
        <f>'Projections - Base'!AG40</f>
        <v>-123</v>
      </c>
      <c r="G38">
        <f t="shared" si="1"/>
        <v>300</v>
      </c>
    </row>
    <row r="39" spans="1:7" x14ac:dyDescent="0.25">
      <c r="A39">
        <f>'Projections - Base'!B41</f>
        <v>36</v>
      </c>
      <c r="B39" s="22">
        <f>'Projections - Base'!G41</f>
        <v>2285</v>
      </c>
      <c r="C39" s="22">
        <f>'Projections - Base'!S41</f>
        <v>360</v>
      </c>
      <c r="D39" s="22">
        <f t="shared" si="0"/>
        <v>2645</v>
      </c>
      <c r="F39" s="22">
        <f>'Projections - Base'!AG41</f>
        <v>-145</v>
      </c>
      <c r="G39">
        <f t="shared" si="1"/>
        <v>300</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Audit Trail</vt:lpstr>
      <vt:lpstr>Parameters</vt:lpstr>
      <vt:lpstr>Projections - Base</vt:lpstr>
      <vt:lpstr>Projections - Scn2</vt:lpstr>
      <vt:lpstr>Projections - Scn3</vt:lpstr>
      <vt:lpstr>Charts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RUCHI</dc:creator>
  <cp:lastModifiedBy>Gauri Jamwal</cp:lastModifiedBy>
  <dcterms:created xsi:type="dcterms:W3CDTF">2017-06-29T04:21:54Z</dcterms:created>
  <dcterms:modified xsi:type="dcterms:W3CDTF">2019-09-11T06:25:20Z</dcterms:modified>
</cp:coreProperties>
</file>