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yoti\Desktop\Sep 21 Result\solution\New folder\"/>
    </mc:Choice>
  </mc:AlternateContent>
  <bookViews>
    <workbookView xWindow="-105" yWindow="-105" windowWidth="19425" windowHeight="10425"/>
  </bookViews>
  <sheets>
    <sheet name="Q1 Data" sheetId="1" r:id="rId1"/>
    <sheet name="Q1 (i) and (ii)" sheetId="6" r:id="rId2"/>
    <sheet name="Q1 (iii)" sheetId="5" r:id="rId3"/>
    <sheet name="Q2 Data" sheetId="7" r:id="rId4"/>
    <sheet name="Q2 (i)" sheetId="8" r:id="rId5"/>
    <sheet name="Q2 (ii)" sheetId="9" r:id="rId6"/>
    <sheet name="Q2 (iii)" sheetId="10" r:id="rId7"/>
    <sheet name=" Q3 Data " sheetId="11" r:id="rId8"/>
    <sheet name="Q3 (i)" sheetId="12" r:id="rId9"/>
    <sheet name="Q3 (ii)" sheetId="13" r:id="rId10"/>
  </sheets>
  <definedNames>
    <definedName name="alpha">' Q3 Data '!$S$6</definedName>
    <definedName name="mu">' Q3 Data '!$S$5</definedName>
    <definedName name="sigma">' Q3 Data '!$S$7</definedName>
  </definedNames>
  <calcPr calcId="191029"/>
</workbook>
</file>

<file path=xl/calcChain.xml><?xml version="1.0" encoding="utf-8"?>
<calcChain xmlns="http://schemas.openxmlformats.org/spreadsheetml/2006/main">
  <c r="F12" i="10" l="1"/>
  <c r="G12" i="10" s="1"/>
  <c r="H12" i="10" s="1"/>
  <c r="I12" i="10" s="1"/>
  <c r="B5" i="10"/>
  <c r="B4" i="10"/>
  <c r="B2" i="10"/>
  <c r="B1" i="10"/>
  <c r="B7" i="9"/>
  <c r="B6" i="9"/>
  <c r="B5" i="9"/>
  <c r="B4" i="9"/>
  <c r="B3" i="9"/>
  <c r="B2" i="9"/>
  <c r="B1" i="9"/>
  <c r="B3" i="8"/>
  <c r="B2" i="8"/>
  <c r="B1" i="8"/>
  <c r="F8" i="12" l="1"/>
  <c r="G8" i="12" s="1"/>
  <c r="F9" i="12"/>
  <c r="G9" i="12" s="1"/>
  <c r="F10" i="12"/>
  <c r="G10" i="12" s="1"/>
  <c r="F11" i="12"/>
  <c r="G11" i="12" s="1"/>
  <c r="F12" i="12"/>
  <c r="G12" i="12" s="1"/>
  <c r="F13" i="12"/>
  <c r="G13" i="12" s="1"/>
  <c r="H13" i="12" s="1"/>
  <c r="F14" i="12"/>
  <c r="G14" i="12" s="1"/>
  <c r="H14" i="12" s="1"/>
  <c r="F15" i="12"/>
  <c r="G15" i="12" s="1"/>
  <c r="H15" i="12" s="1"/>
  <c r="F7" i="12"/>
  <c r="G7" i="12" s="1"/>
  <c r="H7" i="12" s="1"/>
  <c r="F6" i="12"/>
  <c r="D10" i="13" s="1"/>
  <c r="H12" i="12" l="1"/>
  <c r="H11" i="12"/>
  <c r="H10" i="12"/>
  <c r="H9" i="12"/>
  <c r="H8" i="12"/>
  <c r="G6" i="12"/>
  <c r="H6" i="12" s="1"/>
  <c r="I24" i="5"/>
  <c r="H24" i="5"/>
  <c r="H25" i="5"/>
  <c r="G24" i="5"/>
  <c r="G25" i="5"/>
  <c r="G26" i="5"/>
  <c r="F24" i="5"/>
  <c r="F25" i="5"/>
  <c r="F26" i="5"/>
  <c r="F27" i="5"/>
  <c r="E25" i="5"/>
  <c r="E26" i="5"/>
  <c r="E27" i="5"/>
  <c r="E28" i="5"/>
  <c r="E24" i="5"/>
  <c r="D25" i="5"/>
  <c r="D26" i="5"/>
  <c r="D27" i="5"/>
  <c r="D28" i="5"/>
  <c r="D29" i="5"/>
  <c r="D24" i="5"/>
  <c r="D6" i="5"/>
  <c r="D7" i="5"/>
  <c r="D8" i="5"/>
  <c r="D9" i="5"/>
  <c r="D5" i="5"/>
  <c r="D15" i="6"/>
  <c r="E15" i="6"/>
  <c r="F15" i="6"/>
  <c r="G15" i="6"/>
  <c r="K15" i="6"/>
  <c r="D16" i="6"/>
  <c r="E16" i="6"/>
  <c r="F16" i="6"/>
  <c r="K16" i="6"/>
  <c r="D17" i="6"/>
  <c r="E17" i="6"/>
  <c r="K17" i="6"/>
  <c r="D18" i="6"/>
  <c r="K18" i="6"/>
  <c r="K29" i="5" s="1"/>
  <c r="E14" i="6"/>
  <c r="F14" i="6"/>
  <c r="G14" i="6"/>
  <c r="H14" i="6"/>
  <c r="K14" i="6"/>
  <c r="D14" i="6"/>
  <c r="D10" i="6"/>
  <c r="E10" i="6"/>
  <c r="F10" i="6"/>
  <c r="G10" i="6"/>
  <c r="H10" i="6"/>
  <c r="I10" i="6"/>
  <c r="J10" i="6"/>
  <c r="K10" i="6"/>
  <c r="D11" i="6"/>
  <c r="E11" i="6"/>
  <c r="F11" i="6"/>
  <c r="G11" i="6"/>
  <c r="H11" i="6"/>
  <c r="I11" i="6"/>
  <c r="J11" i="6"/>
  <c r="K11" i="6"/>
  <c r="D12" i="6"/>
  <c r="E12" i="6"/>
  <c r="F12" i="6"/>
  <c r="G12" i="6"/>
  <c r="H12" i="6"/>
  <c r="I12" i="6"/>
  <c r="J12" i="6"/>
  <c r="K12" i="6"/>
  <c r="E9" i="6"/>
  <c r="F9" i="6"/>
  <c r="G9" i="6"/>
  <c r="H9" i="6"/>
  <c r="I9" i="6"/>
  <c r="J9" i="6"/>
  <c r="K9" i="6"/>
  <c r="D9" i="6"/>
  <c r="D19" i="6" l="1"/>
  <c r="O12" i="10"/>
  <c r="P12" i="10" s="1"/>
  <c r="Q12" i="10" s="1"/>
  <c r="R12" i="10" s="1"/>
  <c r="P25" i="10"/>
  <c r="O12" i="9"/>
  <c r="P12" i="9" s="1"/>
  <c r="Q12" i="9" s="1"/>
  <c r="R12" i="9" s="1"/>
  <c r="F12" i="9"/>
  <c r="G12" i="9" s="1"/>
  <c r="H12" i="9" s="1"/>
  <c r="I12" i="9" s="1"/>
  <c r="G12" i="8"/>
  <c r="H12" i="8" s="1"/>
  <c r="I12" i="8" s="1"/>
  <c r="J12" i="8" s="1"/>
  <c r="E18" i="8"/>
  <c r="E18" i="10" l="1"/>
  <c r="E18" i="9"/>
  <c r="Q25" i="10"/>
  <c r="N25" i="10"/>
  <c r="O25" i="10"/>
  <c r="B30" i="9"/>
  <c r="Q20" i="9" s="1"/>
  <c r="M25" i="10"/>
  <c r="F19" i="8"/>
  <c r="F17" i="8"/>
  <c r="F19" i="10" l="1"/>
  <c r="F19" i="9"/>
  <c r="G16" i="8"/>
  <c r="F17" i="10"/>
  <c r="F17" i="9"/>
  <c r="Q22" i="9"/>
  <c r="P21" i="9" s="1"/>
  <c r="Q20" i="10"/>
  <c r="Q22" i="10"/>
  <c r="G20" i="8"/>
  <c r="G18" i="8"/>
  <c r="H15" i="8" l="1"/>
  <c r="G16" i="10"/>
  <c r="G16" i="9"/>
  <c r="H17" i="8"/>
  <c r="G18" i="10"/>
  <c r="G18" i="9"/>
  <c r="P21" i="10"/>
  <c r="H19" i="8"/>
  <c r="H21" i="8"/>
  <c r="I16" i="8" l="1"/>
  <c r="H17" i="10"/>
  <c r="H17" i="9"/>
  <c r="I18" i="8"/>
  <c r="H19" i="10"/>
  <c r="H19" i="9"/>
  <c r="I14" i="8"/>
  <c r="H15" i="10"/>
  <c r="H15" i="9"/>
  <c r="I22" i="8"/>
  <c r="I20" i="8"/>
  <c r="J19" i="8" s="1"/>
  <c r="J17" i="8" l="1"/>
  <c r="I18" i="9"/>
  <c r="Q18" i="9" s="1"/>
  <c r="P19" i="9" s="1"/>
  <c r="O20" i="9" s="1"/>
  <c r="I18" i="10"/>
  <c r="Q18" i="10" s="1"/>
  <c r="P19" i="10" s="1"/>
  <c r="O20" i="10" s="1"/>
  <c r="J13" i="8"/>
  <c r="I14" i="10"/>
  <c r="Q14" i="10" s="1"/>
  <c r="P15" i="10" s="1"/>
  <c r="I14" i="9"/>
  <c r="Q14" i="9" s="1"/>
  <c r="P15" i="9" s="1"/>
  <c r="O16" i="9" s="1"/>
  <c r="N17" i="9" s="1"/>
  <c r="J15" i="8"/>
  <c r="I16" i="9"/>
  <c r="Q16" i="9" s="1"/>
  <c r="P17" i="9" s="1"/>
  <c r="O18" i="9" s="1"/>
  <c r="N19" i="9" s="1"/>
  <c r="I16" i="10"/>
  <c r="Q16" i="10" s="1"/>
  <c r="P17" i="10" s="1"/>
  <c r="J23" i="8"/>
  <c r="J21" i="8"/>
  <c r="O18" i="10" l="1"/>
  <c r="N19" i="10" s="1"/>
  <c r="O16" i="10"/>
  <c r="N17" i="10" s="1"/>
  <c r="M18" i="10" s="1"/>
  <c r="G19" i="13"/>
  <c r="G18" i="13"/>
  <c r="F17" i="13"/>
  <c r="F16" i="13"/>
  <c r="G15" i="13"/>
  <c r="G14" i="13"/>
  <c r="F13" i="13"/>
  <c r="G12" i="13"/>
  <c r="F12" i="13"/>
  <c r="G10" i="13"/>
  <c r="E4" i="13"/>
  <c r="G11" i="13" l="1"/>
  <c r="D11" i="13"/>
  <c r="D12" i="13" s="1"/>
  <c r="D13" i="13" s="1"/>
  <c r="D14" i="13" s="1"/>
  <c r="D15" i="13" s="1"/>
  <c r="D16" i="13" s="1"/>
  <c r="D17" i="13" s="1"/>
  <c r="D18" i="13" s="1"/>
  <c r="D19" i="13" s="1"/>
  <c r="D20" i="13" s="1"/>
  <c r="G16" i="13"/>
  <c r="G13" i="13"/>
  <c r="G17" i="13"/>
  <c r="F11" i="13"/>
  <c r="E11" i="13" s="1"/>
  <c r="F15" i="13"/>
  <c r="E15" i="13" s="1"/>
  <c r="F19" i="13"/>
  <c r="E19" i="13" s="1"/>
  <c r="E17" i="13"/>
  <c r="E13" i="13"/>
  <c r="E12" i="13"/>
  <c r="E16" i="13"/>
  <c r="F10" i="13"/>
  <c r="F14" i="13"/>
  <c r="F18" i="13"/>
  <c r="I16" i="13" l="1"/>
  <c r="I12" i="13"/>
  <c r="I17" i="13"/>
  <c r="I11" i="13"/>
  <c r="I19" i="13"/>
  <c r="I15" i="13"/>
  <c r="I13" i="13"/>
  <c r="E18" i="13"/>
  <c r="I18" i="13" s="1"/>
  <c r="E14" i="13"/>
  <c r="I14" i="13" s="1"/>
  <c r="E10" i="13"/>
  <c r="I10" i="13" s="1"/>
  <c r="K53" i="5" l="1"/>
  <c r="D62" i="5" s="1"/>
  <c r="D41" i="5"/>
  <c r="D53" i="5" s="1"/>
  <c r="D64" i="5" s="1"/>
  <c r="C41" i="5"/>
  <c r="C53" i="5" s="1"/>
  <c r="C40" i="5"/>
  <c r="C52" i="5" s="1"/>
  <c r="C39" i="5"/>
  <c r="C51" i="5" s="1"/>
  <c r="G38" i="5"/>
  <c r="C38" i="5"/>
  <c r="C50" i="5" s="1"/>
  <c r="H37" i="5"/>
  <c r="C37" i="5"/>
  <c r="C49" i="5" s="1"/>
  <c r="C36" i="5"/>
  <c r="C48" i="5" s="1"/>
  <c r="E40" i="5"/>
  <c r="F39" i="5"/>
  <c r="I36" i="5"/>
  <c r="D16" i="5"/>
  <c r="D15" i="5"/>
  <c r="D14" i="5"/>
  <c r="D13" i="5"/>
  <c r="D12" i="5"/>
  <c r="I29" i="6"/>
  <c r="H29" i="6"/>
  <c r="G29" i="6"/>
  <c r="F29" i="6"/>
  <c r="E29" i="6"/>
  <c r="D29" i="6"/>
  <c r="L12" i="6"/>
  <c r="L11" i="6"/>
  <c r="L10" i="6"/>
  <c r="E19" i="6"/>
  <c r="L9" i="6"/>
  <c r="I19" i="6"/>
  <c r="H19" i="6"/>
  <c r="G19" i="6"/>
  <c r="F19" i="6"/>
  <c r="D20" i="6"/>
  <c r="F36" i="5" l="1"/>
  <c r="K26" i="5"/>
  <c r="K50" i="5" s="1"/>
  <c r="G62" i="5" s="1"/>
  <c r="G36" i="5"/>
  <c r="K27" i="5"/>
  <c r="K51" i="5" s="1"/>
  <c r="F62" i="5" s="1"/>
  <c r="F37" i="5"/>
  <c r="K24" i="5"/>
  <c r="K48" i="5" s="1"/>
  <c r="I62" i="5" s="1"/>
  <c r="D36" i="5"/>
  <c r="I48" i="5" s="1"/>
  <c r="I64" i="5" s="1"/>
  <c r="E39" i="5"/>
  <c r="K28" i="5"/>
  <c r="K52" i="5" s="1"/>
  <c r="E62" i="5" s="1"/>
  <c r="E36" i="5"/>
  <c r="K25" i="5"/>
  <c r="K49" i="5" s="1"/>
  <c r="H62" i="5" s="1"/>
  <c r="H36" i="5"/>
  <c r="E38" i="5"/>
  <c r="D40" i="5"/>
  <c r="D52" i="5" s="1"/>
  <c r="G37" i="5"/>
  <c r="F38" i="5"/>
  <c r="H48" i="5"/>
  <c r="G48" i="5"/>
  <c r="F48" i="5"/>
  <c r="D48" i="5"/>
  <c r="D38" i="5"/>
  <c r="E52" i="5"/>
  <c r="E64" i="5" s="1"/>
  <c r="D37" i="5"/>
  <c r="E37" i="5"/>
  <c r="D39" i="5"/>
  <c r="L13" i="6"/>
  <c r="D25" i="6" s="1"/>
  <c r="D27" i="6" s="1"/>
  <c r="E20" i="6"/>
  <c r="E21" i="6" s="1"/>
  <c r="D21" i="6"/>
  <c r="F20" i="6"/>
  <c r="F21" i="6" s="1"/>
  <c r="G20" i="6"/>
  <c r="G21" i="6" s="1"/>
  <c r="I20" i="6"/>
  <c r="H20" i="6"/>
  <c r="H21" i="6" s="1"/>
  <c r="J19" i="6"/>
  <c r="E48" i="5" l="1"/>
  <c r="J48" i="5"/>
  <c r="J54" i="5" s="1"/>
  <c r="J55" i="5" s="1"/>
  <c r="I54" i="5"/>
  <c r="I55" i="5" s="1"/>
  <c r="I56" i="5" s="1"/>
  <c r="I57" i="5" s="1"/>
  <c r="I58" i="5" s="1"/>
  <c r="I63" i="5" s="1"/>
  <c r="I65" i="5" s="1"/>
  <c r="E27" i="6"/>
  <c r="F27" i="6"/>
  <c r="I27" i="6"/>
  <c r="H27" i="6"/>
  <c r="G27" i="6"/>
  <c r="G50" i="5"/>
  <c r="G64" i="5" s="1"/>
  <c r="F50" i="5"/>
  <c r="E50" i="5"/>
  <c r="D50" i="5"/>
  <c r="F51" i="5"/>
  <c r="F64" i="5" s="1"/>
  <c r="E51" i="5"/>
  <c r="D51" i="5"/>
  <c r="G49" i="5"/>
  <c r="F49" i="5"/>
  <c r="E49" i="5"/>
  <c r="D49" i="5"/>
  <c r="H49" i="5"/>
  <c r="H64" i="5" s="1"/>
  <c r="J20" i="6"/>
  <c r="I21" i="6"/>
  <c r="I22" i="6" s="1"/>
  <c r="I23" i="6" s="1"/>
  <c r="E54" i="5" l="1"/>
  <c r="F54" i="5"/>
  <c r="F55" i="5" s="1"/>
  <c r="G54" i="5"/>
  <c r="G55" i="5" s="1"/>
  <c r="D54" i="5"/>
  <c r="D55" i="5" s="1"/>
  <c r="D56" i="5" s="1"/>
  <c r="I28" i="6"/>
  <c r="I30" i="6" s="1"/>
  <c r="E55" i="5"/>
  <c r="H54" i="5"/>
  <c r="E22" i="6"/>
  <c r="E23" i="6" s="1"/>
  <c r="E28" i="6" s="1"/>
  <c r="E30" i="6" s="1"/>
  <c r="D22" i="6"/>
  <c r="D23" i="6" s="1"/>
  <c r="D28" i="6" s="1"/>
  <c r="D30" i="6" s="1"/>
  <c r="F22" i="6"/>
  <c r="F23" i="6" s="1"/>
  <c r="F28" i="6" s="1"/>
  <c r="F30" i="6" s="1"/>
  <c r="G22" i="6"/>
  <c r="G23" i="6" s="1"/>
  <c r="G28" i="6" s="1"/>
  <c r="G30" i="6" s="1"/>
  <c r="H22" i="6"/>
  <c r="H23" i="6" s="1"/>
  <c r="H28" i="6" s="1"/>
  <c r="H30" i="6" s="1"/>
  <c r="E56" i="5" l="1"/>
  <c r="F56" i="5"/>
  <c r="D31" i="6"/>
  <c r="D33" i="6" s="1"/>
  <c r="H55" i="5"/>
  <c r="H56" i="5" s="1"/>
  <c r="H57" i="5" s="1"/>
  <c r="H58" i="5" s="1"/>
  <c r="H63" i="5" s="1"/>
  <c r="H65" i="5" s="1"/>
  <c r="G56" i="5"/>
  <c r="G57" i="5" l="1"/>
  <c r="G58" i="5" s="1"/>
  <c r="G63" i="5" s="1"/>
  <c r="G65" i="5" s="1"/>
  <c r="D57" i="5"/>
  <c r="D58" i="5" s="1"/>
  <c r="D63" i="5" s="1"/>
  <c r="D65" i="5" s="1"/>
  <c r="F57" i="5"/>
  <c r="F58" i="5" s="1"/>
  <c r="F63" i="5" s="1"/>
  <c r="F65" i="5" s="1"/>
  <c r="E57" i="5"/>
  <c r="E58" i="5" s="1"/>
  <c r="E63" i="5" s="1"/>
  <c r="E65" i="5" s="1"/>
  <c r="D66" i="5" l="1"/>
  <c r="C8" i="11" l="1"/>
  <c r="C9" i="11" s="1"/>
  <c r="M5" i="11"/>
  <c r="M6" i="11" s="1"/>
  <c r="M7" i="11" s="1"/>
  <c r="M8" i="11" s="1"/>
  <c r="M9" i="11" s="1"/>
  <c r="M10" i="11" s="1"/>
  <c r="M11" i="11" s="1"/>
  <c r="M12" i="11" s="1"/>
  <c r="M13" i="11" s="1"/>
  <c r="C10" i="11" l="1"/>
  <c r="C11" i="11" l="1"/>
  <c r="C12" i="11" l="1"/>
  <c r="C13" i="11" l="1"/>
  <c r="C14" i="11" l="1"/>
  <c r="C15" i="11" l="1"/>
  <c r="C16" i="11" l="1"/>
  <c r="C17" i="11" l="1"/>
  <c r="C9" i="6" l="1"/>
  <c r="C22" i="1"/>
  <c r="C23" i="1" s="1"/>
  <c r="C24" i="1" s="1"/>
  <c r="C25" i="1" s="1"/>
  <c r="C26" i="1" s="1"/>
  <c r="C8" i="1"/>
  <c r="C10" i="6" s="1"/>
  <c r="D17" i="1"/>
  <c r="C9" i="1" l="1"/>
  <c r="C10" i="1" s="1"/>
  <c r="C11" i="6"/>
  <c r="C11" i="1" l="1"/>
  <c r="C12" i="6"/>
  <c r="M18" i="9"/>
  <c r="B35" i="9" s="1"/>
  <c r="C12" i="1" l="1"/>
  <c r="C14" i="6"/>
  <c r="C13" i="1" l="1"/>
  <c r="C15" i="6"/>
  <c r="C14" i="1" l="1"/>
  <c r="C16" i="6"/>
  <c r="C15" i="1" l="1"/>
  <c r="C18" i="6" s="1"/>
  <c r="C17" i="6"/>
</calcChain>
</file>

<file path=xl/sharedStrings.xml><?xml version="1.0" encoding="utf-8"?>
<sst xmlns="http://schemas.openxmlformats.org/spreadsheetml/2006/main" count="187" uniqueCount="131">
  <si>
    <t>Development Year</t>
  </si>
  <si>
    <t>Accident Year</t>
  </si>
  <si>
    <t>Accident year</t>
  </si>
  <si>
    <t>Year</t>
  </si>
  <si>
    <t>Inflation rate</t>
  </si>
  <si>
    <t>Inflation adjustment</t>
  </si>
  <si>
    <t>Incremental claim payments in monetary amounts (£m)</t>
  </si>
  <si>
    <t>Cumulative claim payments (Rs.Lakh)</t>
  </si>
  <si>
    <t>Ultimate</t>
  </si>
  <si>
    <t>Earned Premium</t>
  </si>
  <si>
    <t>Estimated Loss ratio</t>
  </si>
  <si>
    <t>Average</t>
  </si>
  <si>
    <t>Total</t>
  </si>
  <si>
    <t>Tot-last</t>
  </si>
  <si>
    <t>Dev factor</t>
  </si>
  <si>
    <t>f</t>
  </si>
  <si>
    <t>1-1/f</t>
  </si>
  <si>
    <t>Reported Liability</t>
  </si>
  <si>
    <t>Ultimate Liability</t>
  </si>
  <si>
    <t>Total Liability</t>
  </si>
  <si>
    <t>Paid claims</t>
  </si>
  <si>
    <t>Reserve for outstanding IBNR</t>
  </si>
  <si>
    <t>Incremental claim payments in mid-2019 prices (£m)</t>
  </si>
  <si>
    <t>Cumulative claim payments in mid-2019 prices (£m)</t>
  </si>
  <si>
    <t>Loss ratio</t>
  </si>
  <si>
    <t>Emerging Liability</t>
  </si>
  <si>
    <t>Initial Ultimate Liability (claim ratio 85%)</t>
  </si>
  <si>
    <t>Assumptions:</t>
  </si>
  <si>
    <t>Parameters</t>
  </si>
  <si>
    <t>Interest Rates</t>
  </si>
  <si>
    <t>Note: Please add  additonal rows or column if required</t>
  </si>
  <si>
    <t>Binomial tree</t>
  </si>
  <si>
    <t>Now</t>
  </si>
  <si>
    <t>Binomial tree of Payoff</t>
  </si>
  <si>
    <t>Input for</t>
  </si>
  <si>
    <t>Q</t>
  </si>
  <si>
    <t>ii</t>
  </si>
  <si>
    <t>year</t>
  </si>
  <si>
    <t>values from Uniform distribution</t>
  </si>
  <si>
    <t>parameters</t>
  </si>
  <si>
    <t>i</t>
  </si>
  <si>
    <t>µ</t>
  </si>
  <si>
    <t xml:space="preserve">Spot Rate (%)  p.a </t>
  </si>
  <si>
    <t>α</t>
  </si>
  <si>
    <t>σ</t>
  </si>
  <si>
    <t>p .a</t>
  </si>
  <si>
    <t>(students can use the column for any calculation to aid the estimation of zero coupon bond)</t>
  </si>
  <si>
    <t>t</t>
  </si>
  <si>
    <t>spot rates</t>
  </si>
  <si>
    <t>forward rates</t>
  </si>
  <si>
    <t>T</t>
  </si>
  <si>
    <t>short rate</t>
  </si>
  <si>
    <t>[ insert as many columns as required]</t>
  </si>
  <si>
    <t>Inflation rates (for part 1 (iii)</t>
  </si>
  <si>
    <t>A loss ratio developed from years 2011 to 2014 is a reasonable a-priori estimate for year 2015-2019</t>
  </si>
  <si>
    <t>2 for correct assumption</t>
  </si>
  <si>
    <t>There are no outstanding claims for pre 2015 years</t>
  </si>
  <si>
    <t>The chain ladder method and its assumptions are applicable</t>
  </si>
  <si>
    <t>1 for correct loss ratio</t>
  </si>
  <si>
    <t>1 for correct (1-1/f)</t>
  </si>
  <si>
    <t>2 for correct Initial Ultimate Liability</t>
  </si>
  <si>
    <t>2 for correct Emerging Liability</t>
  </si>
  <si>
    <t>2 for Ultimate Liability</t>
  </si>
  <si>
    <t>1 for Total Liability</t>
  </si>
  <si>
    <t>2 for correct reserve</t>
  </si>
  <si>
    <t>2 for correct inflation adjustment</t>
  </si>
  <si>
    <t>1 for incremental claim amounts</t>
  </si>
  <si>
    <t>1 for inflation adjusted earned premium</t>
  </si>
  <si>
    <t>1 for inflation adjusted incremental claims</t>
  </si>
  <si>
    <t>1 for inflation adjusted cumulative claims</t>
  </si>
  <si>
    <t>2 for new development factors</t>
  </si>
  <si>
    <t>2 for reported liability</t>
  </si>
  <si>
    <t>interim step</t>
  </si>
  <si>
    <t>zero coupon bond price (`)</t>
  </si>
  <si>
    <t>[ total ]</t>
  </si>
  <si>
    <t>1 mark for the data in the chart</t>
  </si>
  <si>
    <t>0.5 marks for legend , 0.5  marks for axis names</t>
  </si>
  <si>
    <t>0.5 marks for title</t>
  </si>
  <si>
    <t>(mu - sigma^2/2alpha^2)</t>
  </si>
  <si>
    <t>a (t,T)</t>
  </si>
  <si>
    <t>b (t,T)</t>
  </si>
  <si>
    <t>T-t</t>
  </si>
  <si>
    <t>10 marks</t>
  </si>
  <si>
    <t>4 marks</t>
  </si>
  <si>
    <t>2 marks</t>
  </si>
  <si>
    <t xml:space="preserve">gold price </t>
  </si>
  <si>
    <t>per kg</t>
  </si>
  <si>
    <t>u</t>
  </si>
  <si>
    <t>d</t>
  </si>
  <si>
    <t>St</t>
  </si>
  <si>
    <t>gold price</t>
  </si>
  <si>
    <t>K</t>
  </si>
  <si>
    <t>cost of extraction</t>
  </si>
  <si>
    <t>r</t>
  </si>
  <si>
    <t>p.a</t>
  </si>
  <si>
    <t>up movement</t>
  </si>
  <si>
    <t>down movement</t>
  </si>
  <si>
    <t>pu</t>
  </si>
  <si>
    <t>up probability</t>
  </si>
  <si>
    <t>pd</t>
  </si>
  <si>
    <t>down probability</t>
  </si>
  <si>
    <t>of payoff</t>
  </si>
  <si>
    <t>value of the lease</t>
  </si>
  <si>
    <t>lease has expired</t>
  </si>
  <si>
    <t>5 marks</t>
  </si>
  <si>
    <t>Risk-neutral probability of up jump (q)</t>
  </si>
  <si>
    <t xml:space="preserve">q = </t>
  </si>
  <si>
    <t xml:space="preserve"> </t>
  </si>
  <si>
    <t>value of lease</t>
  </si>
  <si>
    <t>1 mark</t>
  </si>
  <si>
    <t>q</t>
  </si>
  <si>
    <t>Input</t>
  </si>
  <si>
    <t>cost</t>
  </si>
  <si>
    <t>kg</t>
  </si>
  <si>
    <t>extraction</t>
  </si>
  <si>
    <t>term</t>
  </si>
  <si>
    <t>years</t>
  </si>
  <si>
    <t>force of interest</t>
  </si>
  <si>
    <t>gold price now</t>
  </si>
  <si>
    <t>prob of going up</t>
  </si>
  <si>
    <t>prob of going down</t>
  </si>
  <si>
    <t>movement up</t>
  </si>
  <si>
    <t>movement down</t>
  </si>
  <si>
    <t xml:space="preserve">Year </t>
  </si>
  <si>
    <t>Interest applicable for next 1 year</t>
  </si>
  <si>
    <t xml:space="preserve">2 for correct dev factor and f </t>
  </si>
  <si>
    <t>2 for Total Liability</t>
  </si>
  <si>
    <t>5 marks for the binomial tree</t>
  </si>
  <si>
    <t xml:space="preserve">6 marks r and q  </t>
  </si>
  <si>
    <t>6 marks for estimating value of lease at each time period</t>
  </si>
  <si>
    <t>( max 12 marks)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</si>
</sst>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0.000"/>
    <numFmt numFmtId="167" formatCode="#,##0.0000"/>
    <numFmt numFmtId="168" formatCode="_ * #,##0_ ;_ * \-#,##0_ ;_ * &quot;-&quot;??_ ;_ @_ "/>
    <numFmt numFmtId="169" formatCode="_(* #,##0_);_(* \(#,##0\);_(* &quot;-&quot;??_);_(@_)"/>
    <numFmt numFmtId="170" formatCode="0.000000000000"/>
    <numFmt numFmtId="171" formatCode="_(* #,##0.0000_);_(* \(#,##0.0000\);_(* &quot;-&quot;??_);_(@_)"/>
    <numFmt numFmtId="172" formatCode="_(* #,##0.000_);_(* \(#,##0.000\);_(* &quot;-&quot;??_);_(@_)"/>
    <numFmt numFmtId="173" formatCode="_ * #,##0.000000000_ ;_ * \-#,##0.000000000_ ;_ * &quot;-&quot;??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imHei"/>
      <family val="3"/>
      <charset val="134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3" fontId="0" fillId="2" borderId="0" xfId="0" applyNumberFormat="1" applyFill="1"/>
    <xf numFmtId="165" fontId="0" fillId="2" borderId="0" xfId="1" applyNumberFormat="1" applyFont="1" applyFill="1"/>
    <xf numFmtId="3" fontId="0" fillId="0" borderId="0" xfId="0" applyNumberFormat="1" applyFill="1"/>
    <xf numFmtId="0" fontId="0" fillId="3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2" fontId="0" fillId="0" borderId="0" xfId="0" applyNumberFormat="1"/>
    <xf numFmtId="2" fontId="2" fillId="0" borderId="0" xfId="0" applyNumberFormat="1" applyFont="1"/>
    <xf numFmtId="9" fontId="0" fillId="0" borderId="0" xfId="0" applyNumberFormat="1"/>
    <xf numFmtId="0" fontId="0" fillId="0" borderId="0" xfId="0" applyFill="1" applyBorder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3" fontId="0" fillId="0" borderId="0" xfId="0" applyNumberFormat="1" applyFill="1" applyBorder="1"/>
    <xf numFmtId="167" fontId="0" fillId="0" borderId="0" xfId="0" applyNumberFormat="1"/>
    <xf numFmtId="3" fontId="0" fillId="2" borderId="1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/>
    <xf numFmtId="168" fontId="0" fillId="2" borderId="0" xfId="2" applyNumberFormat="1" applyFont="1" applyFill="1"/>
    <xf numFmtId="168" fontId="0" fillId="2" borderId="1" xfId="2" applyNumberFormat="1" applyFont="1" applyFill="1" applyBorder="1"/>
    <xf numFmtId="168" fontId="2" fillId="2" borderId="1" xfId="2" applyNumberFormat="1" applyFont="1" applyFill="1" applyBorder="1"/>
    <xf numFmtId="165" fontId="0" fillId="2" borderId="1" xfId="1" applyNumberFormat="1" applyFont="1" applyFill="1" applyBorder="1"/>
    <xf numFmtId="165" fontId="0" fillId="2" borderId="1" xfId="0" applyNumberFormat="1" applyFill="1" applyBorder="1"/>
    <xf numFmtId="168" fontId="0" fillId="0" borderId="0" xfId="2" applyNumberFormat="1" applyFont="1"/>
    <xf numFmtId="0" fontId="0" fillId="0" borderId="0" xfId="0" applyBorder="1"/>
    <xf numFmtId="0" fontId="0" fillId="4" borderId="0" xfId="0" applyFill="1" applyBorder="1"/>
    <xf numFmtId="0" fontId="0" fillId="4" borderId="0" xfId="0" applyFill="1"/>
    <xf numFmtId="169" fontId="0" fillId="4" borderId="0" xfId="3" applyNumberFormat="1" applyFont="1" applyFill="1"/>
    <xf numFmtId="0" fontId="3" fillId="4" borderId="0" xfId="0" applyFont="1" applyFill="1"/>
    <xf numFmtId="9" fontId="0" fillId="4" borderId="0" xfId="1" applyFont="1" applyFill="1"/>
    <xf numFmtId="0" fontId="0" fillId="5" borderId="0" xfId="0" applyFill="1"/>
    <xf numFmtId="9" fontId="5" fillId="0" borderId="0" xfId="0" applyNumberFormat="1" applyFont="1" applyFill="1" applyBorder="1" applyAlignment="1">
      <alignment vertical="center" wrapText="1"/>
    </xf>
    <xf numFmtId="0" fontId="0" fillId="6" borderId="0" xfId="0" applyFill="1"/>
    <xf numFmtId="0" fontId="0" fillId="0" borderId="0" xfId="0" applyBorder="1" applyAlignment="1"/>
    <xf numFmtId="0" fontId="0" fillId="7" borderId="0" xfId="0" applyFill="1"/>
    <xf numFmtId="0" fontId="0" fillId="8" borderId="0" xfId="0" applyFill="1"/>
    <xf numFmtId="0" fontId="2" fillId="7" borderId="0" xfId="0" applyFont="1" applyFill="1"/>
    <xf numFmtId="43" fontId="0" fillId="7" borderId="0" xfId="3" applyFont="1" applyFill="1"/>
    <xf numFmtId="43" fontId="0" fillId="0" borderId="0" xfId="0" applyNumberFormat="1"/>
    <xf numFmtId="0" fontId="0" fillId="0" borderId="0" xfId="0" applyAlignment="1">
      <alignment wrapText="1"/>
    </xf>
    <xf numFmtId="169" fontId="0" fillId="0" borderId="0" xfId="3" applyNumberFormat="1" applyFont="1"/>
    <xf numFmtId="169" fontId="0" fillId="0" borderId="0" xfId="0" applyNumberFormat="1"/>
    <xf numFmtId="0" fontId="6" fillId="7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3" fontId="0" fillId="0" borderId="1" xfId="3" applyFont="1" applyBorder="1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9" fontId="0" fillId="0" borderId="0" xfId="1" applyFont="1" applyBorder="1"/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9" borderId="1" xfId="0" applyFill="1" applyBorder="1"/>
    <xf numFmtId="165" fontId="0" fillId="9" borderId="1" xfId="1" applyNumberFormat="1" applyFont="1" applyFill="1" applyBorder="1"/>
    <xf numFmtId="10" fontId="0" fillId="9" borderId="1" xfId="1" applyNumberFormat="1" applyFont="1" applyFill="1" applyBorder="1"/>
    <xf numFmtId="43" fontId="0" fillId="9" borderId="1" xfId="3" applyFont="1" applyFill="1" applyBorder="1"/>
    <xf numFmtId="9" fontId="0" fillId="9" borderId="1" xfId="1" applyFont="1" applyFill="1" applyBorder="1"/>
    <xf numFmtId="170" fontId="0" fillId="0" borderId="0" xfId="0" applyNumberFormat="1"/>
    <xf numFmtId="43" fontId="0" fillId="0" borderId="0" xfId="3" applyFont="1"/>
    <xf numFmtId="9" fontId="0" fillId="0" borderId="0" xfId="1" applyFont="1"/>
    <xf numFmtId="0" fontId="0" fillId="7" borderId="1" xfId="0" quotePrefix="1" applyFill="1" applyBorder="1"/>
    <xf numFmtId="171" fontId="0" fillId="7" borderId="1" xfId="3" applyNumberFormat="1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quotePrefix="1" applyAlignment="1">
      <alignment wrapText="1"/>
    </xf>
    <xf numFmtId="166" fontId="0" fillId="3" borderId="1" xfId="0" applyNumberFormat="1" applyFill="1" applyBorder="1"/>
    <xf numFmtId="172" fontId="0" fillId="3" borderId="1" xfId="3" applyNumberFormat="1" applyFont="1" applyFill="1" applyBorder="1"/>
    <xf numFmtId="0" fontId="0" fillId="3" borderId="1" xfId="0" applyFill="1" applyBorder="1"/>
    <xf numFmtId="10" fontId="0" fillId="0" borderId="1" xfId="1" applyNumberFormat="1" applyFont="1" applyFill="1" applyBorder="1"/>
    <xf numFmtId="171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0" fillId="0" borderId="1" xfId="0" applyBorder="1" applyAlignment="1">
      <alignment horizontal="center"/>
    </xf>
    <xf numFmtId="9" fontId="0" fillId="0" borderId="2" xfId="0" applyNumberFormat="1" applyBorder="1"/>
    <xf numFmtId="10" fontId="0" fillId="0" borderId="1" xfId="0" applyNumberFormat="1" applyBorder="1"/>
    <xf numFmtId="0" fontId="7" fillId="0" borderId="0" xfId="0" applyFont="1"/>
    <xf numFmtId="9" fontId="0" fillId="10" borderId="0" xfId="0" applyNumberFormat="1" applyFill="1"/>
    <xf numFmtId="0" fontId="0" fillId="10" borderId="0" xfId="0" applyFill="1"/>
    <xf numFmtId="164" fontId="0" fillId="9" borderId="1" xfId="2" applyFont="1" applyFill="1" applyBorder="1"/>
    <xf numFmtId="173" fontId="0" fillId="9" borderId="1" xfId="2" applyNumberFormat="1" applyFont="1" applyFill="1" applyBorder="1"/>
    <xf numFmtId="0" fontId="5" fillId="5" borderId="1" xfId="0" applyFont="1" applyFill="1" applyBorder="1" applyAlignment="1">
      <alignment vertical="center" wrapText="1"/>
    </xf>
    <xf numFmtId="9" fontId="5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 wrapText="1"/>
    </xf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Yield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'Q3 (i)'!$E$5</c:f>
              <c:strCache>
                <c:ptCount val="1"/>
                <c:pt idx="0">
                  <c:v>spot rates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'Q3 (i)'!$D$6:$D$16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'Q3 (i)'!$E$6:$E$16</c:f>
              <c:numCache>
                <c:formatCode>0.0%</c:formatCode>
                <c:ptCount val="11"/>
                <c:pt idx="1">
                  <c:v>0.04</c:v>
                </c:pt>
                <c:pt idx="2">
                  <c:v>4.4999999999999998E-2</c:v>
                </c:pt>
                <c:pt idx="3">
                  <c:v>0.05</c:v>
                </c:pt>
                <c:pt idx="4">
                  <c:v>5.5E-2</c:v>
                </c:pt>
                <c:pt idx="5">
                  <c:v>0.06</c:v>
                </c:pt>
                <c:pt idx="6">
                  <c:v>6.5000000000000002E-2</c:v>
                </c:pt>
                <c:pt idx="7">
                  <c:v>7.0000000000000007E-2</c:v>
                </c:pt>
                <c:pt idx="8">
                  <c:v>6.5000000000000002E-2</c:v>
                </c:pt>
                <c:pt idx="9">
                  <c:v>6.5000000000000002E-2</c:v>
                </c:pt>
                <c:pt idx="10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FFA-40A0-8599-85CCC27E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46366496"/>
        <c:axId val="1046359424"/>
      </c:lineChart>
      <c:catAx>
        <c:axId val="104636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359424"/>
        <c:crosses val="autoZero"/>
        <c:auto val="1"/>
        <c:lblAlgn val="ctr"/>
        <c:lblOffset val="100"/>
        <c:noMultiLvlLbl val="0"/>
      </c:catAx>
      <c:valAx>
        <c:axId val="10463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/>
                  <a:t>Rates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36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450021</xdr:colOff>
      <xdr:row>20</xdr:row>
      <xdr:rowOff>122031</xdr:rowOff>
    </xdr:from>
    <xdr:to>
      <xdr:col>6</xdr:col>
      <xdr:colOff>1822173</xdr:colOff>
      <xdr:row>35</xdr:row>
      <xdr:rowOff>131970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1C887E2F-6310-4BB5-BCD4-F3CDDE1B1E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3:U26"/>
  <sheetViews>
    <sheetView tabSelected="1" zoomScaleNormal="100" workbookViewId="0">
      <selection activeCell="C19" sqref="C19"/>
    </sheetView>
  </sheetViews>
  <sheetFormatPr defaultRowHeight="15"/>
  <cols>
    <col min="3" max="3" width="14.5703125" customWidth="1"/>
    <col min="11" max="11" width="17" customWidth="1"/>
    <col min="14" max="21" width="10" bestFit="1" customWidth="1"/>
  </cols>
  <sheetData>
    <row r="3" spans="3:21">
      <c r="C3" s="2" t="s">
        <v>7</v>
      </c>
    </row>
    <row r="5" spans="3:21">
      <c r="D5" s="95" t="s">
        <v>0</v>
      </c>
      <c r="E5" s="95"/>
      <c r="F5" s="95"/>
      <c r="G5" s="95"/>
      <c r="H5" s="95"/>
      <c r="I5" s="95"/>
    </row>
    <row r="6" spans="3:21">
      <c r="C6" s="3" t="s">
        <v>1</v>
      </c>
      <c r="D6">
        <v>0</v>
      </c>
      <c r="E6">
        <v>1</v>
      </c>
      <c r="F6">
        <v>2</v>
      </c>
      <c r="G6">
        <v>3</v>
      </c>
      <c r="H6">
        <v>4</v>
      </c>
      <c r="I6">
        <v>5</v>
      </c>
      <c r="J6" t="s">
        <v>8</v>
      </c>
      <c r="K6" t="s">
        <v>9</v>
      </c>
    </row>
    <row r="7" spans="3:21">
      <c r="C7" s="3">
        <v>2012</v>
      </c>
      <c r="D7" s="1">
        <v>5456.25</v>
      </c>
      <c r="E7" s="1">
        <v>6554.25</v>
      </c>
      <c r="F7" s="1">
        <v>6772.5</v>
      </c>
      <c r="G7" s="1">
        <v>7312.5</v>
      </c>
      <c r="H7" s="1">
        <v>7850.25</v>
      </c>
      <c r="I7" s="1">
        <v>7976.25</v>
      </c>
      <c r="J7" s="1">
        <v>7976.25</v>
      </c>
      <c r="K7" s="34">
        <v>9382.5</v>
      </c>
      <c r="N7" s="34"/>
      <c r="O7" s="34"/>
      <c r="P7" s="34"/>
      <c r="Q7" s="34"/>
      <c r="R7" s="34"/>
      <c r="S7" s="34"/>
      <c r="T7" s="34"/>
      <c r="U7" s="34"/>
    </row>
    <row r="8" spans="3:21">
      <c r="C8" s="3">
        <f>C7+1</f>
        <v>2013</v>
      </c>
      <c r="D8" s="1">
        <v>5850</v>
      </c>
      <c r="E8" s="1">
        <v>6750</v>
      </c>
      <c r="F8" s="1">
        <v>7220.25</v>
      </c>
      <c r="G8" s="1">
        <v>7524</v>
      </c>
      <c r="H8" s="1">
        <v>7776</v>
      </c>
      <c r="I8" s="1">
        <v>8325</v>
      </c>
      <c r="J8" s="1">
        <v>8325</v>
      </c>
      <c r="K8" s="34">
        <v>9832.5</v>
      </c>
      <c r="N8" s="34"/>
      <c r="O8" s="34"/>
      <c r="P8" s="34"/>
      <c r="Q8" s="34"/>
      <c r="R8" s="34"/>
      <c r="S8" s="34"/>
      <c r="T8" s="34"/>
      <c r="U8" s="34"/>
    </row>
    <row r="9" spans="3:21">
      <c r="C9" s="12">
        <f t="shared" ref="C9:C15" si="0">C8+1</f>
        <v>2014</v>
      </c>
      <c r="D9" s="34">
        <v>6320.25</v>
      </c>
      <c r="E9" s="1">
        <v>7346.25</v>
      </c>
      <c r="F9" s="1">
        <v>7841.25</v>
      </c>
      <c r="G9" s="1">
        <v>7895.25</v>
      </c>
      <c r="H9" s="1">
        <v>8275.5</v>
      </c>
      <c r="I9" s="1">
        <v>8550</v>
      </c>
      <c r="J9" s="1">
        <v>8550</v>
      </c>
      <c r="K9" s="34">
        <v>10046.25</v>
      </c>
      <c r="N9" s="34"/>
      <c r="O9" s="34"/>
      <c r="P9" s="34"/>
      <c r="Q9" s="34"/>
      <c r="R9" s="34"/>
      <c r="S9" s="34"/>
      <c r="T9" s="34"/>
      <c r="U9" s="34"/>
    </row>
    <row r="10" spans="3:21">
      <c r="C10" s="12">
        <f t="shared" si="0"/>
        <v>2015</v>
      </c>
      <c r="D10" s="1">
        <v>6840</v>
      </c>
      <c r="E10" s="1">
        <v>8019</v>
      </c>
      <c r="F10" s="1">
        <v>8336.25</v>
      </c>
      <c r="G10" s="1">
        <v>8876.25</v>
      </c>
      <c r="H10" s="1">
        <v>9027</v>
      </c>
      <c r="I10" s="1">
        <v>10181.25</v>
      </c>
      <c r="J10" s="1">
        <v>10181.25</v>
      </c>
      <c r="K10" s="34">
        <v>11961</v>
      </c>
      <c r="N10" s="34"/>
      <c r="O10" s="34"/>
      <c r="P10" s="34"/>
      <c r="Q10" s="34"/>
      <c r="R10" s="34"/>
      <c r="S10" s="34"/>
      <c r="T10" s="34"/>
      <c r="U10" s="34"/>
    </row>
    <row r="11" spans="3:21">
      <c r="C11" s="12">
        <f t="shared" si="0"/>
        <v>2016</v>
      </c>
      <c r="D11" s="1">
        <v>8201.25</v>
      </c>
      <c r="E11" s="1">
        <v>9180</v>
      </c>
      <c r="F11" s="1">
        <v>9461.25</v>
      </c>
      <c r="G11" s="1">
        <v>10111.5</v>
      </c>
      <c r="H11" s="1">
        <v>10575</v>
      </c>
      <c r="I11" s="1"/>
      <c r="K11" s="34">
        <v>12150</v>
      </c>
      <c r="N11" s="34"/>
      <c r="O11" s="34"/>
      <c r="P11" s="34"/>
      <c r="Q11" s="34"/>
      <c r="R11" s="34"/>
      <c r="S11" s="34"/>
      <c r="T11" s="34"/>
      <c r="U11" s="34"/>
    </row>
    <row r="12" spans="3:21">
      <c r="C12" s="12">
        <f t="shared" si="0"/>
        <v>2017</v>
      </c>
      <c r="D12" s="1">
        <v>9450</v>
      </c>
      <c r="E12" s="1">
        <v>10575</v>
      </c>
      <c r="F12" s="1">
        <v>11110.5</v>
      </c>
      <c r="G12" s="1">
        <v>11927.25</v>
      </c>
      <c r="H12" s="1"/>
      <c r="I12" s="1"/>
      <c r="K12" s="34">
        <v>13266</v>
      </c>
      <c r="N12" s="34"/>
      <c r="O12" s="34"/>
      <c r="P12" s="34"/>
      <c r="Q12" s="34"/>
      <c r="R12" s="34"/>
      <c r="S12" s="34"/>
      <c r="T12" s="34"/>
      <c r="U12" s="34"/>
    </row>
    <row r="13" spans="3:21">
      <c r="C13" s="12">
        <f t="shared" si="0"/>
        <v>2018</v>
      </c>
      <c r="D13" s="1">
        <v>10449</v>
      </c>
      <c r="E13" s="1">
        <v>12647.25</v>
      </c>
      <c r="F13" s="1">
        <v>12802.5</v>
      </c>
      <c r="G13" s="1"/>
      <c r="H13" s="1"/>
      <c r="I13" s="1"/>
      <c r="K13" s="34">
        <v>15030</v>
      </c>
      <c r="N13" s="34"/>
      <c r="O13" s="34"/>
      <c r="P13" s="34"/>
      <c r="Q13" s="34"/>
      <c r="R13" s="34"/>
      <c r="S13" s="34"/>
      <c r="T13" s="34"/>
      <c r="U13" s="34"/>
    </row>
    <row r="14" spans="3:21">
      <c r="C14" s="12">
        <f t="shared" si="0"/>
        <v>2019</v>
      </c>
      <c r="D14" s="1">
        <v>12498.75</v>
      </c>
      <c r="E14" s="1">
        <v>14175</v>
      </c>
      <c r="F14" s="1"/>
      <c r="G14" s="1"/>
      <c r="H14" s="1"/>
      <c r="I14" s="1"/>
      <c r="K14" s="34">
        <v>17550</v>
      </c>
      <c r="N14" s="34"/>
      <c r="O14" s="34"/>
      <c r="P14" s="34"/>
      <c r="Q14" s="34"/>
      <c r="R14" s="34"/>
      <c r="S14" s="34"/>
      <c r="T14" s="34"/>
      <c r="U14" s="34"/>
    </row>
    <row r="15" spans="3:21">
      <c r="C15" s="12">
        <f t="shared" si="0"/>
        <v>2020</v>
      </c>
      <c r="D15" s="1">
        <v>13050</v>
      </c>
      <c r="E15" s="1"/>
      <c r="F15" s="1"/>
      <c r="G15" s="1"/>
      <c r="H15" s="1"/>
      <c r="I15" s="1"/>
      <c r="K15" s="34">
        <v>18909</v>
      </c>
      <c r="N15" s="34"/>
      <c r="O15" s="34"/>
      <c r="P15" s="34"/>
      <c r="Q15" s="34"/>
      <c r="R15" s="34"/>
      <c r="S15" s="34"/>
      <c r="T15" s="34"/>
      <c r="U15" s="34"/>
    </row>
    <row r="17" spans="3:4">
      <c r="C17" t="s">
        <v>20</v>
      </c>
      <c r="D17" s="1">
        <f>22000*2.25</f>
        <v>49500</v>
      </c>
    </row>
    <row r="19" spans="3:4">
      <c r="C19" s="2" t="s">
        <v>53</v>
      </c>
    </row>
    <row r="22" spans="3:4">
      <c r="C22" s="11">
        <f>2016</f>
        <v>2016</v>
      </c>
      <c r="D22" s="4">
        <v>3.5000000000000003E-2</v>
      </c>
    </row>
    <row r="23" spans="3:4">
      <c r="C23" s="11">
        <f>C22+1</f>
        <v>2017</v>
      </c>
      <c r="D23" s="4">
        <v>0.04</v>
      </c>
    </row>
    <row r="24" spans="3:4">
      <c r="C24" s="12">
        <f t="shared" ref="C24:C26" si="1">C23+1</f>
        <v>2018</v>
      </c>
      <c r="D24" s="4">
        <v>0.05</v>
      </c>
    </row>
    <row r="25" spans="3:4">
      <c r="C25" s="12">
        <f t="shared" si="1"/>
        <v>2019</v>
      </c>
      <c r="D25" s="4">
        <v>4.7E-2</v>
      </c>
    </row>
    <row r="26" spans="3:4">
      <c r="C26" s="12">
        <f t="shared" si="1"/>
        <v>2020</v>
      </c>
      <c r="D26" s="4">
        <v>3.5000000000000003E-2</v>
      </c>
    </row>
  </sheetData>
  <mergeCells count="1">
    <mergeCell ref="D5:I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5"/>
  <sheetViews>
    <sheetView topLeftCell="B16" zoomScaleNormal="100" workbookViewId="0">
      <selection activeCell="I26" sqref="I26"/>
    </sheetView>
  </sheetViews>
  <sheetFormatPr defaultRowHeight="15"/>
  <cols>
    <col min="3" max="3" width="15.140625" customWidth="1"/>
    <col min="4" max="4" width="42.42578125" customWidth="1"/>
    <col min="5" max="5" width="36.140625" customWidth="1"/>
    <col min="6" max="6" width="14" customWidth="1"/>
    <col min="9" max="9" width="25.5703125" customWidth="1"/>
    <col min="10" max="10" width="15" customWidth="1"/>
    <col min="12" max="12" width="16" customWidth="1"/>
  </cols>
  <sheetData>
    <row r="1" spans="3:13">
      <c r="I1" s="73"/>
    </row>
    <row r="2" spans="3:13">
      <c r="I2" s="73"/>
    </row>
    <row r="3" spans="3:13">
      <c r="D3" s="55" t="s">
        <v>50</v>
      </c>
      <c r="E3" s="74">
        <v>10</v>
      </c>
    </row>
    <row r="4" spans="3:13">
      <c r="D4" s="55" t="s">
        <v>78</v>
      </c>
      <c r="E4" s="75">
        <f>mu-(sigma^2/(2*alpha^2))</f>
        <v>4.4444444444444446E-2</v>
      </c>
    </row>
    <row r="6" spans="3:13">
      <c r="D6" s="51"/>
    </row>
    <row r="9" spans="3:13">
      <c r="C9" s="54" t="s">
        <v>3</v>
      </c>
      <c r="D9" s="76" t="s">
        <v>51</v>
      </c>
      <c r="E9" s="76" t="s">
        <v>79</v>
      </c>
      <c r="F9" s="76" t="s">
        <v>80</v>
      </c>
      <c r="G9" s="76" t="s">
        <v>81</v>
      </c>
      <c r="H9" s="76"/>
      <c r="I9" s="54" t="s">
        <v>48</v>
      </c>
      <c r="J9" s="77"/>
      <c r="K9" s="77"/>
      <c r="L9" s="50"/>
      <c r="M9" s="50"/>
    </row>
    <row r="10" spans="3:13">
      <c r="C10" s="80">
        <v>0</v>
      </c>
      <c r="D10" s="78">
        <f>'Q3 (i)'!F6</f>
        <v>0.04</v>
      </c>
      <c r="E10" s="79">
        <f t="shared" ref="E10:E19" si="0">$E$4*(F10-(10-C10))-sigma^2/(4*alpha)*F10^2</f>
        <v>-0.28578988425980195</v>
      </c>
      <c r="F10" s="80">
        <f t="shared" ref="F10:F19" si="1">1/alpha*(1-EXP(-alpha*($E$3-C10)))</f>
        <v>5.1791322656771346</v>
      </c>
      <c r="G10" s="80">
        <f>$E$3-C10</f>
        <v>10</v>
      </c>
      <c r="H10" s="80"/>
      <c r="I10" s="81">
        <f>(F10*D10-E10)/(10-C10)</f>
        <v>4.9295517488688732E-2</v>
      </c>
    </row>
    <row r="11" spans="3:13">
      <c r="C11" s="80">
        <v>1</v>
      </c>
      <c r="D11" s="78">
        <f>D10+alpha*(mu-D10)*(C11-C10)+sigma*(SQRT(C11-C10))*_xlfn.NORM.S.INV(' Q3 Data '!N4)</f>
        <v>7.4702765466618165E-2</v>
      </c>
      <c r="E11" s="79">
        <f t="shared" si="0"/>
        <v>-0.24554970584446761</v>
      </c>
      <c r="F11" s="80">
        <f t="shared" si="1"/>
        <v>4.9383982623607228</v>
      </c>
      <c r="G11" s="80">
        <f t="shared" ref="G11:G19" si="2">$E$3-C11</f>
        <v>9</v>
      </c>
      <c r="H11" s="80"/>
      <c r="I11" s="81">
        <f t="shared" ref="I11:I19" si="3">(F11*D11-E11)/(10-C11)</f>
        <v>6.8273523668706149E-2</v>
      </c>
      <c r="J11" s="82"/>
      <c r="L11" s="83"/>
      <c r="M11" s="84"/>
    </row>
    <row r="12" spans="3:13">
      <c r="C12" s="80">
        <v>2</v>
      </c>
      <c r="D12" s="78">
        <f>D11+alpha*(mu-D11)*(C12-C11)+sigma*(SQRT(C12-C11))*_xlfn.NORM.S.INV(' Q3 Data '!N5)</f>
        <v>0.12365930905489958</v>
      </c>
      <c r="E12" s="79">
        <f t="shared" si="0"/>
        <v>-0.20637808109576458</v>
      </c>
      <c r="F12" s="80">
        <f t="shared" si="1"/>
        <v>4.6587052539186526</v>
      </c>
      <c r="G12" s="80">
        <f t="shared" si="2"/>
        <v>8</v>
      </c>
      <c r="H12" s="80"/>
      <c r="I12" s="81">
        <f t="shared" si="3"/>
        <v>9.780879423572196E-2</v>
      </c>
      <c r="J12" s="82"/>
      <c r="L12" s="83"/>
      <c r="M12" s="84"/>
    </row>
    <row r="13" spans="3:13">
      <c r="C13" s="80">
        <v>3</v>
      </c>
      <c r="D13" s="78">
        <f>D12+alpha*(mu-D12)*(C13-C12)+sigma*(SQRT(C13-C12))*_xlfn.NORM.S.INV(' Q3 Data '!N6)</f>
        <v>5.2985642585859805E-2</v>
      </c>
      <c r="E13" s="79">
        <f t="shared" si="0"/>
        <v>-0.16858373959212558</v>
      </c>
      <c r="F13" s="80">
        <f t="shared" si="1"/>
        <v>4.3337483392589649</v>
      </c>
      <c r="G13" s="80">
        <f t="shared" si="2"/>
        <v>7</v>
      </c>
      <c r="H13" s="80"/>
      <c r="I13" s="81">
        <f t="shared" si="3"/>
        <v>5.6887168593309223E-2</v>
      </c>
      <c r="J13" s="82"/>
      <c r="L13" s="83"/>
      <c r="M13" s="84"/>
    </row>
    <row r="14" spans="3:13">
      <c r="C14" s="80">
        <v>4</v>
      </c>
      <c r="D14" s="78">
        <f>D13+alpha*(mu-D13)*(C14-C13)+sigma*(SQRT(C14-C13))*_xlfn.NORM.S.INV(' Q3 Data '!N7)</f>
        <v>2.182737184162542E-2</v>
      </c>
      <c r="E14" s="79">
        <f t="shared" si="0"/>
        <v>-0.13257288510718651</v>
      </c>
      <c r="F14" s="80">
        <f t="shared" si="1"/>
        <v>3.9562022683960052</v>
      </c>
      <c r="G14" s="80">
        <f t="shared" si="2"/>
        <v>6</v>
      </c>
      <c r="H14" s="80"/>
      <c r="I14" s="81">
        <f t="shared" si="3"/>
        <v>3.6487730516691345E-2</v>
      </c>
      <c r="J14" s="82"/>
      <c r="L14" s="83"/>
      <c r="M14" s="84"/>
    </row>
    <row r="15" spans="3:13">
      <c r="C15" s="80">
        <v>5</v>
      </c>
      <c r="D15" s="78">
        <f>D14+alpha*(mu-D14)*(C15-C14)+sigma*(SQRT(C15-C14))*_xlfn.NORM.S.INV(' Q3 Data '!N8)</f>
        <v>4.1787273148868445E-2</v>
      </c>
      <c r="E15" s="79">
        <f t="shared" si="0"/>
        <v>-9.8881592476318475E-2</v>
      </c>
      <c r="F15" s="80">
        <f t="shared" si="1"/>
        <v>3.5175563150599021</v>
      </c>
      <c r="G15" s="80">
        <f t="shared" si="2"/>
        <v>5</v>
      </c>
      <c r="H15" s="80"/>
      <c r="I15" s="81">
        <f t="shared" si="3"/>
        <v>4.9174135806050748E-2</v>
      </c>
      <c r="J15" s="82"/>
      <c r="L15" s="83"/>
      <c r="M15" s="84"/>
    </row>
    <row r="16" spans="3:13">
      <c r="C16" s="80">
        <v>6</v>
      </c>
      <c r="D16" s="78">
        <f>D15+alpha*(mu-D15)*(C16-C15)+sigma*(SQRT(C16-C15))*_xlfn.NORM.S.INV(' Q3 Data '!N9)</f>
        <v>6.1343385431895416E-2</v>
      </c>
      <c r="E16" s="79">
        <f t="shared" si="0"/>
        <v>-6.8219262809981071E-2</v>
      </c>
      <c r="F16" s="80">
        <f t="shared" si="1"/>
        <v>3.0079224260398241</v>
      </c>
      <c r="G16" s="80">
        <f t="shared" si="2"/>
        <v>4</v>
      </c>
      <c r="H16" s="80"/>
      <c r="I16" s="81">
        <f t="shared" si="3"/>
        <v>6.3183851884945977E-2</v>
      </c>
      <c r="J16" s="82"/>
      <c r="L16" s="83"/>
      <c r="M16" s="84"/>
    </row>
    <row r="17" spans="3:13">
      <c r="C17" s="80">
        <v>7</v>
      </c>
      <c r="D17" s="78">
        <f>D16+alpha*(mu-D16)*(C17-C16)+sigma*(SQRT(C17-C16))*_xlfn.NORM.S.INV(' Q3 Data '!N10)</f>
        <v>7.2245372203570607E-2</v>
      </c>
      <c r="E17" s="79">
        <f t="shared" si="0"/>
        <v>-4.1526961250546474E-2</v>
      </c>
      <c r="F17" s="80">
        <f t="shared" si="1"/>
        <v>2.4158123225215111</v>
      </c>
      <c r="G17" s="80">
        <f t="shared" si="2"/>
        <v>3</v>
      </c>
      <c r="H17" s="80"/>
      <c r="I17" s="81">
        <f t="shared" si="3"/>
        <v>7.2019407221695128E-2</v>
      </c>
      <c r="J17" s="82"/>
      <c r="L17" s="83"/>
      <c r="M17" s="84"/>
    </row>
    <row r="18" spans="3:13">
      <c r="C18" s="80">
        <v>8</v>
      </c>
      <c r="D18" s="78">
        <f>D17+alpha*(mu-D17)*(C18-C17)+sigma*(SQRT(C18-C17))*_xlfn.NORM.S.INV(' Q3 Data '!N11)</f>
        <v>2.0467329400714482E-2</v>
      </c>
      <c r="E18" s="79">
        <f t="shared" si="0"/>
        <v>-2.0055792170060489E-2</v>
      </c>
      <c r="F18" s="80">
        <f t="shared" si="1"/>
        <v>1.7278785287885476</v>
      </c>
      <c r="G18" s="80">
        <f t="shared" si="2"/>
        <v>2</v>
      </c>
      <c r="H18" s="80"/>
      <c r="I18" s="81">
        <f t="shared" si="3"/>
        <v>2.7710425591598808E-2</v>
      </c>
      <c r="J18" s="82"/>
      <c r="L18" s="83"/>
      <c r="M18" s="84"/>
    </row>
    <row r="19" spans="3:13">
      <c r="C19" s="80">
        <v>9</v>
      </c>
      <c r="D19" s="78">
        <f>D18+alpha*(mu-D18)*(C19-C18)+sigma*(SQRT(C19-C18))*_xlfn.NORM.S.INV(' Q3 Data '!N12)</f>
        <v>3.7997553082510641E-2</v>
      </c>
      <c r="E19" s="79">
        <f t="shared" si="0"/>
        <v>-5.472261794873692E-3</v>
      </c>
      <c r="F19" s="80">
        <f t="shared" si="1"/>
        <v>0.92861349049961461</v>
      </c>
      <c r="G19" s="80">
        <f t="shared" si="2"/>
        <v>1</v>
      </c>
      <c r="H19" s="80"/>
      <c r="I19" s="81">
        <f t="shared" si="3"/>
        <v>4.0757302193268292E-2</v>
      </c>
      <c r="J19" s="82"/>
      <c r="L19" s="83"/>
      <c r="M19" s="84"/>
    </row>
    <row r="20" spans="3:13">
      <c r="C20" s="80">
        <v>10</v>
      </c>
      <c r="D20" s="78">
        <f>D19+alpha*(mu-D19)*(C20-C19)+sigma*(SQRT(C20-C19))*_xlfn.NORM.S.INV(' Q3 Data '!N13)</f>
        <v>1.1788462948300285E-2</v>
      </c>
      <c r="E20" s="79"/>
      <c r="F20" s="80"/>
      <c r="G20" s="80"/>
      <c r="H20" s="80"/>
      <c r="I20" s="87"/>
      <c r="J20" s="82"/>
      <c r="L20" s="83"/>
      <c r="M20" s="84"/>
    </row>
    <row r="21" spans="3:13">
      <c r="E21" s="51"/>
      <c r="I21" s="49"/>
      <c r="J21" s="82"/>
      <c r="L21" s="83"/>
      <c r="M21" s="84"/>
    </row>
    <row r="22" spans="3:13">
      <c r="C22" s="99" t="s">
        <v>52</v>
      </c>
      <c r="D22" s="99"/>
      <c r="E22" s="99"/>
      <c r="F22" s="99"/>
      <c r="G22" s="99"/>
      <c r="H22" s="99"/>
      <c r="I22" s="49"/>
      <c r="J22" s="82"/>
      <c r="L22" s="83"/>
      <c r="M22" s="84"/>
    </row>
    <row r="23" spans="3:13">
      <c r="D23" s="51" t="s">
        <v>82</v>
      </c>
      <c r="E23" s="51" t="s">
        <v>83</v>
      </c>
      <c r="F23" s="51" t="s">
        <v>83</v>
      </c>
      <c r="I23" s="49" t="s">
        <v>84</v>
      </c>
      <c r="J23" s="82"/>
      <c r="L23" s="83"/>
      <c r="M23" s="84"/>
    </row>
    <row r="24" spans="3:13">
      <c r="E24" s="51"/>
      <c r="I24" s="49"/>
      <c r="J24" s="82"/>
      <c r="L24" s="83"/>
      <c r="M24" s="84"/>
    </row>
    <row r="25" spans="3:13">
      <c r="E25" s="51"/>
      <c r="I25" s="49"/>
      <c r="J25" s="82"/>
      <c r="L25" s="51"/>
      <c r="M25" s="84"/>
    </row>
  </sheetData>
  <mergeCells count="1">
    <mergeCell ref="C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33"/>
  <sheetViews>
    <sheetView topLeftCell="A25" workbookViewId="0">
      <selection activeCell="N3" sqref="N3"/>
    </sheetView>
  </sheetViews>
  <sheetFormatPr defaultRowHeight="15"/>
  <cols>
    <col min="2" max="2" width="5.42578125" customWidth="1"/>
    <col min="3" max="3" width="35.140625" customWidth="1"/>
    <col min="11" max="11" width="15.85546875" bestFit="1" customWidth="1"/>
    <col min="12" max="12" width="17.5703125" customWidth="1"/>
  </cols>
  <sheetData>
    <row r="2" spans="3:14">
      <c r="C2" t="s">
        <v>27</v>
      </c>
    </row>
    <row r="3" spans="3:14">
      <c r="C3" t="s">
        <v>54</v>
      </c>
      <c r="N3" t="s">
        <v>55</v>
      </c>
    </row>
    <row r="4" spans="3:14">
      <c r="C4" t="s">
        <v>56</v>
      </c>
    </row>
    <row r="5" spans="3:14">
      <c r="C5" t="s">
        <v>57</v>
      </c>
    </row>
    <row r="7" spans="3:14">
      <c r="C7" s="14"/>
      <c r="D7" s="96" t="s">
        <v>0</v>
      </c>
      <c r="E7" s="96"/>
      <c r="F7" s="96"/>
      <c r="G7" s="96"/>
      <c r="H7" s="96"/>
      <c r="I7" s="96"/>
      <c r="J7" s="14"/>
      <c r="K7" s="14"/>
      <c r="L7" s="14"/>
    </row>
    <row r="8" spans="3:14">
      <c r="C8" s="15" t="s">
        <v>1</v>
      </c>
      <c r="D8" s="14">
        <v>0</v>
      </c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 t="s">
        <v>8</v>
      </c>
      <c r="K8" s="14" t="s">
        <v>9</v>
      </c>
      <c r="L8" s="14" t="s">
        <v>10</v>
      </c>
    </row>
    <row r="9" spans="3:14">
      <c r="C9" s="15">
        <f>'Q1 Data'!C7</f>
        <v>2012</v>
      </c>
      <c r="D9" s="16">
        <f>'Q1 Data'!D7</f>
        <v>5456.25</v>
      </c>
      <c r="E9" s="16">
        <f>'Q1 Data'!E7</f>
        <v>6554.25</v>
      </c>
      <c r="F9" s="16">
        <f>'Q1 Data'!F7</f>
        <v>6772.5</v>
      </c>
      <c r="G9" s="16">
        <f>'Q1 Data'!G7</f>
        <v>7312.5</v>
      </c>
      <c r="H9" s="16">
        <f>'Q1 Data'!H7</f>
        <v>7850.25</v>
      </c>
      <c r="I9" s="16">
        <f>'Q1 Data'!I7</f>
        <v>7976.25</v>
      </c>
      <c r="J9" s="16">
        <f>'Q1 Data'!J7</f>
        <v>7976.25</v>
      </c>
      <c r="K9" s="16">
        <f>'Q1 Data'!K7</f>
        <v>9382.5</v>
      </c>
      <c r="L9" s="32">
        <f>J9/K9</f>
        <v>0.85011990407673865</v>
      </c>
      <c r="N9" t="s">
        <v>58</v>
      </c>
    </row>
    <row r="10" spans="3:14">
      <c r="C10" s="15">
        <f>'Q1 Data'!C8</f>
        <v>2013</v>
      </c>
      <c r="D10" s="16">
        <f>'Q1 Data'!D8</f>
        <v>5850</v>
      </c>
      <c r="E10" s="16">
        <f>'Q1 Data'!E8</f>
        <v>6750</v>
      </c>
      <c r="F10" s="16">
        <f>'Q1 Data'!F8</f>
        <v>7220.25</v>
      </c>
      <c r="G10" s="16">
        <f>'Q1 Data'!G8</f>
        <v>7524</v>
      </c>
      <c r="H10" s="16">
        <f>'Q1 Data'!H8</f>
        <v>7776</v>
      </c>
      <c r="I10" s="16">
        <f>'Q1 Data'!I8</f>
        <v>8325</v>
      </c>
      <c r="J10" s="16">
        <f>'Q1 Data'!J8</f>
        <v>8325</v>
      </c>
      <c r="K10" s="16">
        <f>'Q1 Data'!K8</f>
        <v>9832.5</v>
      </c>
      <c r="L10" s="32">
        <f t="shared" ref="L10:L12" si="0">J10/K10</f>
        <v>0.84668192219679639</v>
      </c>
    </row>
    <row r="11" spans="3:14">
      <c r="C11" s="15">
        <f>'Q1 Data'!C9</f>
        <v>2014</v>
      </c>
      <c r="D11" s="16">
        <f>'Q1 Data'!D9</f>
        <v>6320.25</v>
      </c>
      <c r="E11" s="16">
        <f>'Q1 Data'!E9</f>
        <v>7346.25</v>
      </c>
      <c r="F11" s="16">
        <f>'Q1 Data'!F9</f>
        <v>7841.25</v>
      </c>
      <c r="G11" s="16">
        <f>'Q1 Data'!G9</f>
        <v>7895.25</v>
      </c>
      <c r="H11" s="16">
        <f>'Q1 Data'!H9</f>
        <v>8275.5</v>
      </c>
      <c r="I11" s="16">
        <f>'Q1 Data'!I9</f>
        <v>8550</v>
      </c>
      <c r="J11" s="16">
        <f>'Q1 Data'!J9</f>
        <v>8550</v>
      </c>
      <c r="K11" s="16">
        <f>'Q1 Data'!K9</f>
        <v>10046.25</v>
      </c>
      <c r="L11" s="32">
        <f t="shared" si="0"/>
        <v>0.85106382978723405</v>
      </c>
    </row>
    <row r="12" spans="3:14">
      <c r="C12" s="15">
        <f>'Q1 Data'!C10</f>
        <v>2015</v>
      </c>
      <c r="D12" s="16">
        <f>'Q1 Data'!D10</f>
        <v>6840</v>
      </c>
      <c r="E12" s="16">
        <f>'Q1 Data'!E10</f>
        <v>8019</v>
      </c>
      <c r="F12" s="16">
        <f>'Q1 Data'!F10</f>
        <v>8336.25</v>
      </c>
      <c r="G12" s="16">
        <f>'Q1 Data'!G10</f>
        <v>8876.25</v>
      </c>
      <c r="H12" s="16">
        <f>'Q1 Data'!H10</f>
        <v>9027</v>
      </c>
      <c r="I12" s="16">
        <f>'Q1 Data'!I10</f>
        <v>10181.25</v>
      </c>
      <c r="J12" s="16">
        <f>'Q1 Data'!J10</f>
        <v>10181.25</v>
      </c>
      <c r="K12" s="16">
        <f>'Q1 Data'!K10</f>
        <v>11961</v>
      </c>
      <c r="L12" s="32">
        <f t="shared" si="0"/>
        <v>0.85120391271632811</v>
      </c>
    </row>
    <row r="13" spans="3:14">
      <c r="C13" s="15"/>
      <c r="D13" s="16"/>
      <c r="E13" s="16"/>
      <c r="F13" s="16"/>
      <c r="G13" s="16"/>
      <c r="H13" s="16"/>
      <c r="I13" s="16"/>
      <c r="J13" s="16"/>
      <c r="K13" s="14" t="s">
        <v>11</v>
      </c>
      <c r="L13" s="33">
        <f>AVERAGE(L9:L12)</f>
        <v>0.84976739219427433</v>
      </c>
    </row>
    <row r="14" spans="3:14">
      <c r="C14" s="15">
        <f>'Q1 Data'!C11</f>
        <v>2016</v>
      </c>
      <c r="D14" s="16">
        <f>'Q1 Data'!D11</f>
        <v>8201.25</v>
      </c>
      <c r="E14" s="16">
        <f>'Q1 Data'!E11</f>
        <v>9180</v>
      </c>
      <c r="F14" s="16">
        <f>'Q1 Data'!F11</f>
        <v>9461.25</v>
      </c>
      <c r="G14" s="16">
        <f>'Q1 Data'!G11</f>
        <v>10111.5</v>
      </c>
      <c r="H14" s="16">
        <f>'Q1 Data'!H11</f>
        <v>10575</v>
      </c>
      <c r="I14" s="16"/>
      <c r="J14" s="16"/>
      <c r="K14" s="16">
        <f>'Q1 Data'!K11</f>
        <v>12150</v>
      </c>
      <c r="L14" s="14"/>
    </row>
    <row r="15" spans="3:14">
      <c r="C15" s="15">
        <f>'Q1 Data'!C12</f>
        <v>2017</v>
      </c>
      <c r="D15" s="16">
        <f>'Q1 Data'!D12</f>
        <v>9450</v>
      </c>
      <c r="E15" s="16">
        <f>'Q1 Data'!E12</f>
        <v>10575</v>
      </c>
      <c r="F15" s="16">
        <f>'Q1 Data'!F12</f>
        <v>11110.5</v>
      </c>
      <c r="G15" s="16">
        <f>'Q1 Data'!G12</f>
        <v>11927.25</v>
      </c>
      <c r="H15" s="16"/>
      <c r="I15" s="16"/>
      <c r="J15" s="16"/>
      <c r="K15" s="16">
        <f>'Q1 Data'!K12</f>
        <v>13266</v>
      </c>
      <c r="L15" s="14"/>
    </row>
    <row r="16" spans="3:14">
      <c r="C16" s="15">
        <f>'Q1 Data'!C13</f>
        <v>2018</v>
      </c>
      <c r="D16" s="16">
        <f>'Q1 Data'!D13</f>
        <v>10449</v>
      </c>
      <c r="E16" s="16">
        <f>'Q1 Data'!E13</f>
        <v>12647.25</v>
      </c>
      <c r="F16" s="16">
        <f>'Q1 Data'!F13</f>
        <v>12802.5</v>
      </c>
      <c r="G16" s="16"/>
      <c r="H16" s="16"/>
      <c r="I16" s="16"/>
      <c r="J16" s="16"/>
      <c r="K16" s="16">
        <f>'Q1 Data'!K13</f>
        <v>15030</v>
      </c>
      <c r="L16" s="14"/>
    </row>
    <row r="17" spans="3:14">
      <c r="C17" s="15">
        <f>'Q1 Data'!C14</f>
        <v>2019</v>
      </c>
      <c r="D17" s="16">
        <f>'Q1 Data'!D14</f>
        <v>12498.75</v>
      </c>
      <c r="E17" s="16">
        <f>'Q1 Data'!E14</f>
        <v>14175</v>
      </c>
      <c r="F17" s="16"/>
      <c r="G17" s="16"/>
      <c r="H17" s="16"/>
      <c r="I17" s="16"/>
      <c r="J17" s="16"/>
      <c r="K17" s="16">
        <f>'Q1 Data'!K14</f>
        <v>17550</v>
      </c>
      <c r="L17" s="14"/>
    </row>
    <row r="18" spans="3:14">
      <c r="C18" s="15">
        <f>'Q1 Data'!C15</f>
        <v>2020</v>
      </c>
      <c r="D18" s="16">
        <f>'Q1 Data'!D15</f>
        <v>13050</v>
      </c>
      <c r="E18" s="16"/>
      <c r="F18" s="16"/>
      <c r="G18" s="16"/>
      <c r="H18" s="16"/>
      <c r="I18" s="16"/>
      <c r="J18" s="16"/>
      <c r="K18" s="16">
        <f>'Q1 Data'!K15</f>
        <v>18909</v>
      </c>
      <c r="L18" s="14"/>
    </row>
    <row r="19" spans="3:14">
      <c r="C19" s="14" t="s">
        <v>12</v>
      </c>
      <c r="D19" s="26">
        <f>SUM(D9:D18)</f>
        <v>78115.5</v>
      </c>
      <c r="E19" s="26">
        <f t="shared" ref="E19:J19" si="1">SUM(E9:E18)</f>
        <v>75246.75</v>
      </c>
      <c r="F19" s="26">
        <f t="shared" si="1"/>
        <v>63544.5</v>
      </c>
      <c r="G19" s="26">
        <f t="shared" si="1"/>
        <v>53646.75</v>
      </c>
      <c r="H19" s="26">
        <f t="shared" si="1"/>
        <v>43503.75</v>
      </c>
      <c r="I19" s="26">
        <f t="shared" si="1"/>
        <v>35032.5</v>
      </c>
      <c r="J19" s="26">
        <f t="shared" si="1"/>
        <v>35032.5</v>
      </c>
      <c r="K19" s="28"/>
      <c r="L19" s="28"/>
    </row>
    <row r="20" spans="3:14">
      <c r="C20" s="14" t="s">
        <v>13</v>
      </c>
      <c r="D20" s="26">
        <f>D19-D18</f>
        <v>65065.5</v>
      </c>
      <c r="E20" s="26">
        <f>E19-E17</f>
        <v>61071.75</v>
      </c>
      <c r="F20" s="26">
        <f>F19-F16</f>
        <v>50742</v>
      </c>
      <c r="G20" s="26">
        <f>G19-G15</f>
        <v>41719.5</v>
      </c>
      <c r="H20" s="26">
        <f>H19-H14</f>
        <v>32928.75</v>
      </c>
      <c r="I20" s="26">
        <f>I19-I18</f>
        <v>35032.5</v>
      </c>
      <c r="J20" s="26">
        <f t="shared" ref="J20" si="2">J19-J18</f>
        <v>35032.5</v>
      </c>
      <c r="K20" s="28"/>
      <c r="L20" s="28"/>
    </row>
    <row r="21" spans="3:14">
      <c r="C21" s="14" t="s">
        <v>14</v>
      </c>
      <c r="D21" s="27">
        <f t="shared" ref="D21:G21" si="3">E19/D20</f>
        <v>1.1564769347811052</v>
      </c>
      <c r="E21" s="27">
        <f t="shared" si="3"/>
        <v>1.0404892605828391</v>
      </c>
      <c r="F21" s="27">
        <f t="shared" si="3"/>
        <v>1.0572454771195459</v>
      </c>
      <c r="G21" s="27">
        <f t="shared" si="3"/>
        <v>1.0427677704670477</v>
      </c>
      <c r="H21" s="27">
        <f>I19/H20</f>
        <v>1.0638879398701742</v>
      </c>
      <c r="I21" s="27">
        <f>J19/I20</f>
        <v>1</v>
      </c>
      <c r="J21" s="28"/>
      <c r="K21" s="28"/>
      <c r="L21" s="28"/>
      <c r="N21" t="s">
        <v>125</v>
      </c>
    </row>
    <row r="22" spans="3:14">
      <c r="C22" s="14" t="s">
        <v>15</v>
      </c>
      <c r="D22" s="27">
        <f>PRODUCT(D21:I21)</f>
        <v>1.4113473067732492</v>
      </c>
      <c r="E22" s="27">
        <f>PRODUCT(E21:J21)</f>
        <v>1.2203851752913557</v>
      </c>
      <c r="F22" s="27">
        <f t="shared" ref="F22:G22" si="4">PRODUCT(F21:K21)</f>
        <v>1.1728955036092794</v>
      </c>
      <c r="G22" s="27">
        <f t="shared" si="4"/>
        <v>1.109388055085202</v>
      </c>
      <c r="H22" s="27">
        <f>PRODUCT(H21:L21)</f>
        <v>1.0638879398701742</v>
      </c>
      <c r="I22" s="27">
        <f>PRODUCT(I21:M21)</f>
        <v>1</v>
      </c>
      <c r="J22" s="28"/>
      <c r="K22" s="28"/>
      <c r="L22" s="28"/>
    </row>
    <row r="23" spans="3:14">
      <c r="C23" s="22" t="s">
        <v>16</v>
      </c>
      <c r="D23" s="27">
        <f>1-1/D22</f>
        <v>0.29145718052469227</v>
      </c>
      <c r="E23" s="27">
        <f t="shared" ref="E23:I23" si="5">1-1/E22</f>
        <v>0.18058657197203398</v>
      </c>
      <c r="F23" s="27">
        <f t="shared" si="5"/>
        <v>0.14740912815953222</v>
      </c>
      <c r="G23" s="27">
        <f t="shared" si="5"/>
        <v>9.8602156913255135E-2</v>
      </c>
      <c r="H23" s="27">
        <f t="shared" si="5"/>
        <v>6.0051380860629333E-2</v>
      </c>
      <c r="I23" s="27">
        <f t="shared" si="5"/>
        <v>0</v>
      </c>
      <c r="J23" s="28"/>
      <c r="K23" s="28"/>
      <c r="L23" s="28"/>
      <c r="N23" t="s">
        <v>59</v>
      </c>
    </row>
    <row r="25" spans="3:14">
      <c r="C25" s="23" t="s">
        <v>24</v>
      </c>
      <c r="D25" s="86">
        <f>L13</f>
        <v>0.84976739219427433</v>
      </c>
    </row>
    <row r="26" spans="3:14">
      <c r="C26" s="15" t="s">
        <v>1</v>
      </c>
      <c r="D26" s="14">
        <v>2019</v>
      </c>
      <c r="E26" s="14">
        <v>2018</v>
      </c>
      <c r="F26" s="14">
        <v>2017</v>
      </c>
      <c r="G26" s="14">
        <v>2016</v>
      </c>
      <c r="H26" s="14">
        <v>2015</v>
      </c>
      <c r="I26" s="14">
        <v>2014</v>
      </c>
    </row>
    <row r="27" spans="3:14">
      <c r="C27" s="14" t="s">
        <v>26</v>
      </c>
      <c r="D27" s="26">
        <f>K18*D25</f>
        <v>16068.251619001534</v>
      </c>
      <c r="E27" s="26">
        <f>K17*D25</f>
        <v>14913.417733009515</v>
      </c>
      <c r="F27" s="26">
        <f>K16*D25</f>
        <v>12772.003904679943</v>
      </c>
      <c r="G27" s="26">
        <f>K15*D25</f>
        <v>11273.014224849243</v>
      </c>
      <c r="H27" s="26">
        <f>K14*D25</f>
        <v>10324.673815160433</v>
      </c>
      <c r="I27" s="26">
        <f>K12*D25</f>
        <v>10164.067778035715</v>
      </c>
      <c r="N27" s="9" t="s">
        <v>60</v>
      </c>
    </row>
    <row r="28" spans="3:14">
      <c r="C28" s="14" t="s">
        <v>25</v>
      </c>
      <c r="D28" s="26">
        <f>D27*D23</f>
        <v>4683.2073128355087</v>
      </c>
      <c r="E28" s="26">
        <f t="shared" ref="E28:I28" si="6">E27*E23</f>
        <v>2693.1629847911308</v>
      </c>
      <c r="F28" s="26">
        <f t="shared" si="6"/>
        <v>1882.7099604390116</v>
      </c>
      <c r="G28" s="26">
        <f t="shared" si="6"/>
        <v>1111.5435174839422</v>
      </c>
      <c r="H28" s="26">
        <f t="shared" si="6"/>
        <v>620.01091953596608</v>
      </c>
      <c r="I28" s="26">
        <f t="shared" si="6"/>
        <v>0</v>
      </c>
      <c r="N28" s="9" t="s">
        <v>61</v>
      </c>
    </row>
    <row r="29" spans="3:14">
      <c r="C29" s="14" t="s">
        <v>17</v>
      </c>
      <c r="D29" s="26">
        <f>D18</f>
        <v>13050</v>
      </c>
      <c r="E29" s="26">
        <f>E17</f>
        <v>14175</v>
      </c>
      <c r="F29" s="26">
        <f>F16</f>
        <v>12802.5</v>
      </c>
      <c r="G29" s="26">
        <f>G15</f>
        <v>11927.25</v>
      </c>
      <c r="H29" s="26">
        <f>H14</f>
        <v>10575</v>
      </c>
      <c r="I29" s="26">
        <f>I12</f>
        <v>10181.25</v>
      </c>
      <c r="J29" s="1"/>
      <c r="N29" s="9" t="s">
        <v>71</v>
      </c>
    </row>
    <row r="30" spans="3:14">
      <c r="C30" s="14" t="s">
        <v>18</v>
      </c>
      <c r="D30" s="26">
        <f>D28+D29</f>
        <v>17733.207312835508</v>
      </c>
      <c r="E30" s="26">
        <f t="shared" ref="E30:I30" si="7">E28+E29</f>
        <v>16868.162984791132</v>
      </c>
      <c r="F30" s="26">
        <f t="shared" si="7"/>
        <v>14685.209960439011</v>
      </c>
      <c r="G30" s="26">
        <f t="shared" si="7"/>
        <v>13038.793517483942</v>
      </c>
      <c r="H30" s="26">
        <f t="shared" si="7"/>
        <v>11195.010919535966</v>
      </c>
      <c r="I30" s="26">
        <f t="shared" si="7"/>
        <v>10181.25</v>
      </c>
      <c r="N30" s="9" t="s">
        <v>62</v>
      </c>
    </row>
    <row r="31" spans="3:14">
      <c r="C31" s="14" t="s">
        <v>19</v>
      </c>
      <c r="D31" s="26">
        <f>SUM(D30:H30)</f>
        <v>73520.384695085551</v>
      </c>
      <c r="E31" s="26"/>
      <c r="F31" s="26"/>
      <c r="G31" s="26"/>
      <c r="H31" s="26"/>
      <c r="I31" s="26"/>
      <c r="N31" s="9" t="s">
        <v>126</v>
      </c>
    </row>
    <row r="32" spans="3:14">
      <c r="C32" s="14" t="s">
        <v>20</v>
      </c>
      <c r="D32" s="26">
        <v>49500</v>
      </c>
      <c r="E32" s="26"/>
      <c r="F32" s="26"/>
      <c r="G32" s="26"/>
      <c r="H32" s="26"/>
      <c r="I32" s="26"/>
    </row>
    <row r="33" spans="3:14">
      <c r="C33" s="14" t="s">
        <v>21</v>
      </c>
      <c r="D33" s="26">
        <f>D31-D32</f>
        <v>24020.384695085551</v>
      </c>
      <c r="E33" s="26"/>
      <c r="F33" s="26"/>
      <c r="G33" s="26"/>
      <c r="H33" s="26"/>
      <c r="I33" s="26"/>
      <c r="N33" s="9" t="s">
        <v>64</v>
      </c>
    </row>
  </sheetData>
  <mergeCells count="1">
    <mergeCell ref="D7:I7"/>
  </mergeCells>
  <pageMargins left="0.7" right="0.7" top="0.75" bottom="0.75" header="0.3" footer="0.3"/>
  <ignoredErrors>
    <ignoredError sqref="D19:J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C4:M85"/>
  <sheetViews>
    <sheetView topLeftCell="A49" zoomScaleNormal="100" workbookViewId="0">
      <selection activeCell="J52" sqref="J52"/>
    </sheetView>
  </sheetViews>
  <sheetFormatPr defaultRowHeight="15"/>
  <cols>
    <col min="3" max="3" width="51.42578125" bestFit="1" customWidth="1"/>
    <col min="4" max="5" width="9.5703125" customWidth="1"/>
    <col min="6" max="8" width="10" bestFit="1" customWidth="1"/>
    <col min="11" max="11" width="15.85546875" bestFit="1" customWidth="1"/>
    <col min="12" max="12" width="15.85546875" customWidth="1"/>
  </cols>
  <sheetData>
    <row r="4" spans="3:6">
      <c r="C4" t="s">
        <v>3</v>
      </c>
      <c r="D4" t="s">
        <v>4</v>
      </c>
    </row>
    <row r="5" spans="3:6">
      <c r="C5">
        <v>2016</v>
      </c>
      <c r="D5" s="7">
        <f>'Q1 Data'!D22</f>
        <v>3.5000000000000003E-2</v>
      </c>
    </row>
    <row r="6" spans="3:6">
      <c r="C6">
        <v>2017</v>
      </c>
      <c r="D6" s="7">
        <f>'Q1 Data'!D23</f>
        <v>0.04</v>
      </c>
    </row>
    <row r="7" spans="3:6">
      <c r="C7">
        <v>2018</v>
      </c>
      <c r="D7" s="7">
        <f>'Q1 Data'!D24</f>
        <v>0.05</v>
      </c>
    </row>
    <row r="8" spans="3:6">
      <c r="C8">
        <v>2019</v>
      </c>
      <c r="D8" s="7">
        <f>'Q1 Data'!D25</f>
        <v>4.7E-2</v>
      </c>
    </row>
    <row r="9" spans="3:6">
      <c r="C9">
        <v>2020</v>
      </c>
      <c r="D9" s="7">
        <f>'Q1 Data'!D26</f>
        <v>3.5000000000000003E-2</v>
      </c>
    </row>
    <row r="11" spans="3:6">
      <c r="C11" t="s">
        <v>2</v>
      </c>
      <c r="D11" t="s">
        <v>5</v>
      </c>
    </row>
    <row r="12" spans="3:6">
      <c r="C12">
        <v>2015</v>
      </c>
      <c r="D12" s="5">
        <f>(1+$D$5)*(1+$D$6)*(1+$D$7)*(1+$D$8)*(1+$D$9)</f>
        <v>1.2247572518999998</v>
      </c>
    </row>
    <row r="13" spans="3:6">
      <c r="C13">
        <v>2016</v>
      </c>
      <c r="D13" s="5">
        <f>(1+$D$6)*(1+$D$7)*(1+$D$8)*(1+$D$9)</f>
        <v>1.18334034</v>
      </c>
    </row>
    <row r="14" spans="3:6">
      <c r="C14">
        <v>2017</v>
      </c>
      <c r="D14" s="5">
        <f>(1+$D$7)*(1+$D$8)*(1+$D$9)</f>
        <v>1.13782725</v>
      </c>
    </row>
    <row r="15" spans="3:6">
      <c r="C15">
        <v>2018</v>
      </c>
      <c r="D15" s="5">
        <f>(1+$D$8)*(1+$D$9)</f>
        <v>1.0836449999999997</v>
      </c>
      <c r="F15" s="9" t="s">
        <v>65</v>
      </c>
    </row>
    <row r="16" spans="3:6">
      <c r="C16">
        <v>2019</v>
      </c>
      <c r="D16" s="5">
        <f>(1+$D$9)</f>
        <v>1.0349999999999999</v>
      </c>
      <c r="F16" s="9"/>
    </row>
    <row r="17" spans="3:13">
      <c r="C17">
        <v>2020</v>
      </c>
      <c r="D17" s="5">
        <v>1</v>
      </c>
      <c r="F17" s="9"/>
    </row>
    <row r="20" spans="3:13">
      <c r="C20" s="2" t="s">
        <v>6</v>
      </c>
    </row>
    <row r="22" spans="3:13">
      <c r="D22" s="95" t="s">
        <v>0</v>
      </c>
      <c r="E22" s="95"/>
      <c r="F22" s="95"/>
      <c r="G22" s="95"/>
      <c r="H22" s="95"/>
      <c r="I22" s="95"/>
    </row>
    <row r="23" spans="3:13">
      <c r="C23" t="s">
        <v>2</v>
      </c>
      <c r="D23">
        <v>0</v>
      </c>
      <c r="E23">
        <v>1</v>
      </c>
      <c r="F23">
        <v>2</v>
      </c>
      <c r="G23">
        <v>3</v>
      </c>
      <c r="H23">
        <v>4</v>
      </c>
      <c r="I23">
        <v>5</v>
      </c>
      <c r="K23" t="s">
        <v>9</v>
      </c>
    </row>
    <row r="24" spans="3:13">
      <c r="C24">
        <v>2015</v>
      </c>
      <c r="D24" s="6">
        <f>'Q1 Data'!D10</f>
        <v>6840</v>
      </c>
      <c r="E24" s="6">
        <f>'Q1 Data'!E10-'Q1 Data'!D10</f>
        <v>1179</v>
      </c>
      <c r="F24" s="6">
        <f>'Q1 Data'!F10-'Q1 Data'!E10</f>
        <v>317.25</v>
      </c>
      <c r="G24" s="6">
        <f>'Q1 Data'!G10-'Q1 Data'!F10</f>
        <v>540</v>
      </c>
      <c r="H24" s="6">
        <f>'Q1 Data'!H10-'Q1 Data'!G10</f>
        <v>150.75</v>
      </c>
      <c r="I24" s="6">
        <f>'Q1 Data'!I10-'Q1 Data'!H10</f>
        <v>1154.25</v>
      </c>
      <c r="K24" s="29">
        <f>D12*'Q1 (i) and (ii)'!K12</f>
        <v>14649.321489975899</v>
      </c>
      <c r="L24" s="17"/>
      <c r="M24" s="9" t="s">
        <v>66</v>
      </c>
    </row>
    <row r="25" spans="3:13">
      <c r="C25">
        <v>2016</v>
      </c>
      <c r="D25" s="6">
        <f>'Q1 Data'!D11</f>
        <v>8201.25</v>
      </c>
      <c r="E25" s="6">
        <f>'Q1 Data'!E11-'Q1 Data'!D11</f>
        <v>978.75</v>
      </c>
      <c r="F25" s="6">
        <f>'Q1 Data'!F11-'Q1 Data'!E11</f>
        <v>281.25</v>
      </c>
      <c r="G25" s="6">
        <f>'Q1 Data'!G11-'Q1 Data'!F11</f>
        <v>650.25</v>
      </c>
      <c r="H25" s="6">
        <f>'Q1 Data'!H11-'Q1 Data'!G11</f>
        <v>463.5</v>
      </c>
      <c r="K25" s="29">
        <f>D13*'Q1 (i) and (ii)'!K14</f>
        <v>14377.585131</v>
      </c>
      <c r="L25" s="17"/>
      <c r="M25" s="9" t="s">
        <v>67</v>
      </c>
    </row>
    <row r="26" spans="3:13">
      <c r="C26">
        <v>2017</v>
      </c>
      <c r="D26" s="6">
        <f>'Q1 Data'!D12</f>
        <v>9450</v>
      </c>
      <c r="E26" s="6">
        <f>'Q1 Data'!E12-'Q1 Data'!D12</f>
        <v>1125</v>
      </c>
      <c r="F26" s="6">
        <f>'Q1 Data'!F12-'Q1 Data'!E12</f>
        <v>535.5</v>
      </c>
      <c r="G26" s="6">
        <f>'Q1 Data'!G12-'Q1 Data'!F12</f>
        <v>816.75</v>
      </c>
      <c r="K26" s="29">
        <f>D14*'Q1 (i) and (ii)'!K15</f>
        <v>15094.4162985</v>
      </c>
      <c r="L26" s="17"/>
      <c r="M26" s="9"/>
    </row>
    <row r="27" spans="3:13">
      <c r="C27">
        <v>2018</v>
      </c>
      <c r="D27" s="6">
        <f>'Q1 Data'!D13</f>
        <v>10449</v>
      </c>
      <c r="E27" s="6">
        <f>'Q1 Data'!E13-'Q1 Data'!D13</f>
        <v>2198.25</v>
      </c>
      <c r="F27" s="6">
        <f>'Q1 Data'!F13-'Q1 Data'!E13</f>
        <v>155.25</v>
      </c>
      <c r="K27" s="29">
        <f>D15*'Q1 (i) and (ii)'!K16</f>
        <v>16287.184349999996</v>
      </c>
      <c r="L27" s="17"/>
    </row>
    <row r="28" spans="3:13">
      <c r="C28">
        <v>2019</v>
      </c>
      <c r="D28" s="6">
        <f>'Q1 Data'!D14</f>
        <v>12498.75</v>
      </c>
      <c r="E28" s="6">
        <f>'Q1 Data'!E14-'Q1 Data'!D14</f>
        <v>1676.25</v>
      </c>
      <c r="K28" s="29">
        <f>D16*'Q1 (i) and (ii)'!K17</f>
        <v>18164.25</v>
      </c>
      <c r="L28" s="17"/>
    </row>
    <row r="29" spans="3:13">
      <c r="C29">
        <v>2020</v>
      </c>
      <c r="D29" s="6">
        <f>'Q1 Data'!D15</f>
        <v>13050</v>
      </c>
      <c r="K29" s="29">
        <f>D17*'Q1 (i) and (ii)'!K18</f>
        <v>18909</v>
      </c>
      <c r="L29" s="17"/>
    </row>
    <row r="32" spans="3:13">
      <c r="C32" s="2" t="s">
        <v>22</v>
      </c>
    </row>
    <row r="34" spans="3:13">
      <c r="D34" s="95" t="s">
        <v>0</v>
      </c>
      <c r="E34" s="95"/>
      <c r="F34" s="95"/>
      <c r="G34" s="95"/>
      <c r="H34" s="95"/>
      <c r="I34" s="95"/>
    </row>
    <row r="35" spans="3:13">
      <c r="C35" t="s">
        <v>2</v>
      </c>
      <c r="D35">
        <v>0</v>
      </c>
      <c r="E35">
        <v>1</v>
      </c>
      <c r="F35">
        <v>2</v>
      </c>
      <c r="G35">
        <v>3</v>
      </c>
      <c r="H35">
        <v>4</v>
      </c>
      <c r="I35">
        <v>5</v>
      </c>
    </row>
    <row r="36" spans="3:13">
      <c r="C36">
        <f>C24</f>
        <v>2015</v>
      </c>
      <c r="D36" s="6">
        <f>D24*$D12</f>
        <v>8377.3396029959986</v>
      </c>
      <c r="E36" s="6">
        <f>E24*$D13</f>
        <v>1395.1582608599999</v>
      </c>
      <c r="F36" s="6">
        <f>F24*$D14</f>
        <v>360.97569506249999</v>
      </c>
      <c r="G36" s="6">
        <f>G24*$D15</f>
        <v>585.16829999999982</v>
      </c>
      <c r="H36" s="6">
        <f>H24*$D16</f>
        <v>156.02624999999998</v>
      </c>
      <c r="I36" s="6">
        <f>I24*$D17</f>
        <v>1154.25</v>
      </c>
      <c r="K36" s="17"/>
      <c r="L36" s="17"/>
      <c r="M36" s="9" t="s">
        <v>68</v>
      </c>
    </row>
    <row r="37" spans="3:13">
      <c r="C37">
        <f t="shared" ref="C37:C41" si="0">C25</f>
        <v>2016</v>
      </c>
      <c r="D37" s="6">
        <f t="shared" ref="D37:D41" si="1">D25*$D13</f>
        <v>9704.8699634250006</v>
      </c>
      <c r="E37" s="6">
        <f>E25*$D14</f>
        <v>1113.6484209374998</v>
      </c>
      <c r="F37" s="6">
        <f>F25*$D15</f>
        <v>304.77515624999995</v>
      </c>
      <c r="G37" s="6">
        <f>G25*$D16</f>
        <v>673.00874999999996</v>
      </c>
      <c r="H37" s="6">
        <f>H25*$D17</f>
        <v>463.5</v>
      </c>
      <c r="K37" s="17"/>
      <c r="L37" s="17"/>
      <c r="M37" s="9"/>
    </row>
    <row r="38" spans="3:13">
      <c r="C38">
        <f t="shared" si="0"/>
        <v>2017</v>
      </c>
      <c r="D38" s="6">
        <f t="shared" si="1"/>
        <v>10752.467512499999</v>
      </c>
      <c r="E38" s="6">
        <f>E26*$D15</f>
        <v>1219.1006249999998</v>
      </c>
      <c r="F38" s="6">
        <f>F26*$D16</f>
        <v>554.24249999999995</v>
      </c>
      <c r="G38" s="6">
        <f>G26*$D17</f>
        <v>816.75</v>
      </c>
      <c r="K38" s="17"/>
      <c r="L38" s="17"/>
      <c r="M38" s="9"/>
    </row>
    <row r="39" spans="3:13">
      <c r="C39">
        <f t="shared" si="0"/>
        <v>2018</v>
      </c>
      <c r="D39" s="6">
        <f t="shared" si="1"/>
        <v>11323.006604999997</v>
      </c>
      <c r="E39" s="6">
        <f>E27*$D16</f>
        <v>2275.1887499999998</v>
      </c>
      <c r="F39" s="6">
        <f>F27*$D17</f>
        <v>155.25</v>
      </c>
      <c r="K39" s="17"/>
      <c r="L39" s="17"/>
    </row>
    <row r="40" spans="3:13">
      <c r="C40">
        <f t="shared" si="0"/>
        <v>2019</v>
      </c>
      <c r="D40" s="6">
        <f t="shared" si="1"/>
        <v>12936.206249999999</v>
      </c>
      <c r="E40" s="6">
        <f>E28*$D17</f>
        <v>1676.25</v>
      </c>
      <c r="K40" s="17"/>
      <c r="L40" s="17"/>
    </row>
    <row r="41" spans="3:13">
      <c r="C41">
        <f t="shared" si="0"/>
        <v>2020</v>
      </c>
      <c r="D41" s="6">
        <f t="shared" si="1"/>
        <v>13050</v>
      </c>
      <c r="K41" s="17"/>
      <c r="L41" s="17"/>
    </row>
    <row r="44" spans="3:13">
      <c r="C44" s="2" t="s">
        <v>23</v>
      </c>
    </row>
    <row r="46" spans="3:13">
      <c r="D46" s="95" t="s">
        <v>0</v>
      </c>
      <c r="E46" s="95"/>
      <c r="F46" s="95"/>
      <c r="G46" s="95"/>
      <c r="H46" s="95"/>
      <c r="I46" s="95"/>
    </row>
    <row r="47" spans="3:13">
      <c r="C47" t="s">
        <v>2</v>
      </c>
      <c r="D47">
        <v>0</v>
      </c>
      <c r="E47">
        <v>1</v>
      </c>
      <c r="F47">
        <v>2</v>
      </c>
      <c r="G47">
        <v>3</v>
      </c>
      <c r="H47">
        <v>4</v>
      </c>
      <c r="I47">
        <v>5</v>
      </c>
      <c r="K47" t="s">
        <v>9</v>
      </c>
    </row>
    <row r="48" spans="3:13">
      <c r="C48">
        <f>C36</f>
        <v>2015</v>
      </c>
      <c r="D48" s="6">
        <f>SUM($D36:D36)</f>
        <v>8377.3396029959986</v>
      </c>
      <c r="E48" s="6">
        <f>SUM($D36:E36)</f>
        <v>9772.4978638559987</v>
      </c>
      <c r="F48" s="6">
        <f>SUM($D36:F36)</f>
        <v>10133.473558918498</v>
      </c>
      <c r="G48" s="6">
        <f>SUM($D36:G36)</f>
        <v>10718.641858918498</v>
      </c>
      <c r="H48" s="6">
        <f>SUM($D36:H36)</f>
        <v>10874.668108918499</v>
      </c>
      <c r="I48" s="6">
        <f>SUM($D36:I36)</f>
        <v>12028.918108918499</v>
      </c>
      <c r="J48" s="1">
        <f>I48</f>
        <v>12028.918108918499</v>
      </c>
      <c r="K48" s="1">
        <f>K24</f>
        <v>14649.321489975899</v>
      </c>
      <c r="L48" s="1"/>
      <c r="M48" s="9" t="s">
        <v>69</v>
      </c>
    </row>
    <row r="49" spans="3:13">
      <c r="C49">
        <f t="shared" ref="C49:C53" si="2">C37</f>
        <v>2016</v>
      </c>
      <c r="D49" s="6">
        <f>SUM($D37:D37)</f>
        <v>9704.8699634250006</v>
      </c>
      <c r="E49" s="6">
        <f>SUM($D37:E37)</f>
        <v>10818.5183843625</v>
      </c>
      <c r="F49" s="6">
        <f>SUM($D37:F37)</f>
        <v>11123.2935406125</v>
      </c>
      <c r="G49" s="6">
        <f>SUM($D37:G37)</f>
        <v>11796.302290612501</v>
      </c>
      <c r="H49" s="6">
        <f>SUM($D37:H37)</f>
        <v>12259.802290612501</v>
      </c>
      <c r="K49" s="1">
        <f t="shared" ref="K49:K53" si="3">K25</f>
        <v>14377.585131</v>
      </c>
      <c r="L49" s="1"/>
      <c r="M49" s="9"/>
    </row>
    <row r="50" spans="3:13">
      <c r="C50">
        <f t="shared" si="2"/>
        <v>2017</v>
      </c>
      <c r="D50" s="6">
        <f>SUM($D38:D38)</f>
        <v>10752.467512499999</v>
      </c>
      <c r="E50" s="6">
        <f>SUM($D38:E38)</f>
        <v>11971.568137499999</v>
      </c>
      <c r="F50" s="6">
        <f>SUM($D38:F38)</f>
        <v>12525.810637499999</v>
      </c>
      <c r="G50" s="6">
        <f>SUM($D38:G38)</f>
        <v>13342.560637499999</v>
      </c>
      <c r="K50" s="1">
        <f t="shared" si="3"/>
        <v>15094.4162985</v>
      </c>
      <c r="L50" s="1"/>
      <c r="M50" s="9"/>
    </row>
    <row r="51" spans="3:13">
      <c r="C51">
        <f t="shared" si="2"/>
        <v>2018</v>
      </c>
      <c r="D51" s="6">
        <f>SUM($D39:D39)</f>
        <v>11323.006604999997</v>
      </c>
      <c r="E51" s="6">
        <f>SUM($D39:E39)</f>
        <v>13598.195354999996</v>
      </c>
      <c r="F51" s="6">
        <f>SUM($D39:F39)</f>
        <v>13753.445354999996</v>
      </c>
      <c r="K51" s="1">
        <f t="shared" si="3"/>
        <v>16287.184349999996</v>
      </c>
      <c r="L51" s="1"/>
    </row>
    <row r="52" spans="3:13">
      <c r="C52">
        <f t="shared" si="2"/>
        <v>2019</v>
      </c>
      <c r="D52" s="6">
        <f>SUM($D40:D40)</f>
        <v>12936.206249999999</v>
      </c>
      <c r="E52" s="6">
        <f>SUM($D40:E40)</f>
        <v>14612.456249999999</v>
      </c>
      <c r="K52" s="1">
        <f t="shared" si="3"/>
        <v>18164.25</v>
      </c>
      <c r="L52" s="1"/>
    </row>
    <row r="53" spans="3:13">
      <c r="C53">
        <f t="shared" si="2"/>
        <v>2020</v>
      </c>
      <c r="D53" s="6">
        <f>SUM($D41:D41)</f>
        <v>13050</v>
      </c>
      <c r="K53" s="1">
        <f t="shared" si="3"/>
        <v>18909</v>
      </c>
      <c r="L53" s="1"/>
    </row>
    <row r="54" spans="3:13">
      <c r="C54" s="14" t="s">
        <v>12</v>
      </c>
      <c r="D54" s="26">
        <f>SUM(D48:D53)</f>
        <v>66143.889933920989</v>
      </c>
      <c r="E54" s="26">
        <f t="shared" ref="E54:I54" si="4">SUM(E48:E53)</f>
        <v>60773.235990718487</v>
      </c>
      <c r="F54" s="26">
        <f t="shared" si="4"/>
        <v>47536.023092030991</v>
      </c>
      <c r="G54" s="26">
        <f t="shared" si="4"/>
        <v>35857.504787030994</v>
      </c>
      <c r="H54" s="26">
        <f t="shared" si="4"/>
        <v>23134.470399530997</v>
      </c>
      <c r="I54" s="26">
        <f t="shared" si="4"/>
        <v>12028.918108918499</v>
      </c>
      <c r="J54" s="26">
        <f t="shared" ref="J54" si="5">SUM(J44:J53)</f>
        <v>12028.918108918499</v>
      </c>
      <c r="K54" s="1"/>
      <c r="L54" s="24"/>
    </row>
    <row r="55" spans="3:13">
      <c r="C55" s="14" t="s">
        <v>13</v>
      </c>
      <c r="D55" s="26">
        <f>D54-D53</f>
        <v>53093.889933920989</v>
      </c>
      <c r="E55" s="26">
        <f>E54-E52</f>
        <v>46160.779740718484</v>
      </c>
      <c r="F55" s="26">
        <f>F54-F51</f>
        <v>33782.577737030995</v>
      </c>
      <c r="G55" s="26">
        <f>G54-G50</f>
        <v>22514.944149530995</v>
      </c>
      <c r="H55" s="26">
        <f>H54-H49</f>
        <v>10874.668108918497</v>
      </c>
      <c r="I55" s="26">
        <f>I54-I53</f>
        <v>12028.918108918499</v>
      </c>
      <c r="J55" s="26">
        <f t="shared" ref="J55" si="6">J54-J53</f>
        <v>12028.918108918499</v>
      </c>
      <c r="K55" s="1"/>
      <c r="L55" s="24"/>
    </row>
    <row r="56" spans="3:13">
      <c r="C56" s="14" t="s">
        <v>14</v>
      </c>
      <c r="D56" s="27">
        <f t="shared" ref="D56:G56" si="7">E54/D55</f>
        <v>1.1446370960265857</v>
      </c>
      <c r="E56" s="27">
        <f t="shared" si="7"/>
        <v>1.0297924636246862</v>
      </c>
      <c r="F56" s="27">
        <f t="shared" si="7"/>
        <v>1.0614200333127792</v>
      </c>
      <c r="G56" s="27">
        <f t="shared" si="7"/>
        <v>1.0275162241525218</v>
      </c>
      <c r="H56" s="27">
        <f>I54/H55</f>
        <v>1.1061411703271553</v>
      </c>
      <c r="I56" s="27">
        <f>J54/I55</f>
        <v>1</v>
      </c>
      <c r="J56" s="28"/>
      <c r="L56" s="20"/>
      <c r="M56" s="9" t="s">
        <v>70</v>
      </c>
    </row>
    <row r="57" spans="3:13">
      <c r="C57" s="14" t="s">
        <v>15</v>
      </c>
      <c r="D57" s="27">
        <f>PRODUCT(D56:I56)</f>
        <v>1.4220145858745936</v>
      </c>
      <c r="E57" s="27">
        <f>PRODUCT(E56:J56)</f>
        <v>1.242327887861469</v>
      </c>
      <c r="F57" s="27">
        <f>PRODUCT(F56:M56)</f>
        <v>1.2063866572578088</v>
      </c>
      <c r="G57" s="27">
        <f>PRODUCT(G56:N56)</f>
        <v>1.1365779987142099</v>
      </c>
      <c r="H57" s="27">
        <f>PRODUCT(H56:N56)</f>
        <v>1.1061411703271553</v>
      </c>
      <c r="I57" s="27">
        <f>PRODUCT(I56:O56)</f>
        <v>1</v>
      </c>
      <c r="J57" s="28"/>
      <c r="L57" s="20"/>
      <c r="M57" s="9"/>
    </row>
    <row r="58" spans="3:13">
      <c r="C58" s="14" t="s">
        <v>16</v>
      </c>
      <c r="D58" s="27">
        <f>1-1/D57</f>
        <v>0.29677233276411041</v>
      </c>
      <c r="E58" s="27">
        <f t="shared" ref="E58:I58" si="8">1-1/E57</f>
        <v>0.19505952512956126</v>
      </c>
      <c r="F58" s="27">
        <f t="shared" si="8"/>
        <v>0.17107836531194598</v>
      </c>
      <c r="G58" s="27">
        <f t="shared" si="8"/>
        <v>0.12016597089572223</v>
      </c>
      <c r="H58" s="27">
        <f t="shared" si="8"/>
        <v>9.5956260533872628E-2</v>
      </c>
      <c r="I58" s="27">
        <f t="shared" si="8"/>
        <v>0</v>
      </c>
      <c r="J58" s="28"/>
      <c r="M58" s="9"/>
    </row>
    <row r="59" spans="3:13">
      <c r="D59" s="13"/>
      <c r="E59" s="13"/>
      <c r="F59" s="13"/>
      <c r="G59" s="13"/>
      <c r="H59" s="13"/>
      <c r="I59" s="13"/>
      <c r="M59" s="9"/>
    </row>
    <row r="60" spans="3:13">
      <c r="C60" t="s">
        <v>24</v>
      </c>
      <c r="D60" s="19">
        <v>0.84976739219427433</v>
      </c>
      <c r="M60" s="9"/>
    </row>
    <row r="61" spans="3:13">
      <c r="C61" s="85" t="s">
        <v>1</v>
      </c>
      <c r="D61">
        <v>2019</v>
      </c>
      <c r="E61">
        <v>2018</v>
      </c>
      <c r="F61">
        <v>2017</v>
      </c>
      <c r="G61">
        <v>2016</v>
      </c>
      <c r="H61">
        <v>2015</v>
      </c>
      <c r="I61">
        <v>2014</v>
      </c>
      <c r="M61" s="9"/>
    </row>
    <row r="62" spans="3:13">
      <c r="C62" s="14" t="s">
        <v>26</v>
      </c>
      <c r="D62" s="30">
        <f>K53*$D$60</f>
        <v>16068.251619001534</v>
      </c>
      <c r="E62" s="30">
        <f>K52*D60</f>
        <v>15435.387353664848</v>
      </c>
      <c r="F62" s="30">
        <f>K51*D60</f>
        <v>13840.318171286894</v>
      </c>
      <c r="G62" s="30">
        <f>K50*D60</f>
        <v>12826.742774671096</v>
      </c>
      <c r="H62" s="30">
        <f>K49*D60</f>
        <v>12217.603022821044</v>
      </c>
      <c r="I62" s="30">
        <f>K48*D60</f>
        <v>12448.51571995236</v>
      </c>
      <c r="M62" s="9" t="s">
        <v>60</v>
      </c>
    </row>
    <row r="63" spans="3:13">
      <c r="C63" s="14" t="s">
        <v>25</v>
      </c>
      <c r="D63" s="30">
        <f>D62*D58</f>
        <v>4768.6125164117793</v>
      </c>
      <c r="E63" s="30">
        <f t="shared" ref="E63:I63" si="9">E62*E58</f>
        <v>3010.8193273967004</v>
      </c>
      <c r="F63" s="30">
        <f t="shared" si="9"/>
        <v>2367.7790081409835</v>
      </c>
      <c r="G63" s="30">
        <f t="shared" si="9"/>
        <v>1541.3379989480425</v>
      </c>
      <c r="H63" s="30">
        <f t="shared" si="9"/>
        <v>1172.3554987572459</v>
      </c>
      <c r="I63" s="30">
        <f t="shared" si="9"/>
        <v>0</v>
      </c>
      <c r="M63" s="9" t="s">
        <v>61</v>
      </c>
    </row>
    <row r="64" spans="3:13">
      <c r="C64" s="14" t="s">
        <v>17</v>
      </c>
      <c r="D64" s="30">
        <f>D53</f>
        <v>13050</v>
      </c>
      <c r="E64" s="30">
        <f>E52</f>
        <v>14612.456249999999</v>
      </c>
      <c r="F64" s="30">
        <f>F51</f>
        <v>13753.445354999996</v>
      </c>
      <c r="G64" s="30">
        <f>G50</f>
        <v>13342.560637499999</v>
      </c>
      <c r="H64" s="30">
        <f>H49</f>
        <v>12259.802290612501</v>
      </c>
      <c r="I64" s="30">
        <f>I48</f>
        <v>12028.918108918499</v>
      </c>
      <c r="M64" s="9" t="s">
        <v>71</v>
      </c>
    </row>
    <row r="65" spans="3:13">
      <c r="C65" s="14" t="s">
        <v>18</v>
      </c>
      <c r="D65" s="30">
        <f>D63+D64</f>
        <v>17818.61251641178</v>
      </c>
      <c r="E65" s="30">
        <f t="shared" ref="E65:I65" si="10">E63+E64</f>
        <v>17623.2755773967</v>
      </c>
      <c r="F65" s="30">
        <f t="shared" si="10"/>
        <v>16121.22436314098</v>
      </c>
      <c r="G65" s="30">
        <f t="shared" si="10"/>
        <v>14883.898636448041</v>
      </c>
      <c r="H65" s="30">
        <f t="shared" si="10"/>
        <v>13432.157789369747</v>
      </c>
      <c r="I65" s="30">
        <f t="shared" si="10"/>
        <v>12028.918108918499</v>
      </c>
      <c r="M65" s="9" t="s">
        <v>62</v>
      </c>
    </row>
    <row r="66" spans="3:13">
      <c r="C66" s="14" t="s">
        <v>19</v>
      </c>
      <c r="D66" s="31">
        <f>SUM(D65:H65)</f>
        <v>79879.168882767233</v>
      </c>
      <c r="E66" s="30"/>
      <c r="F66" s="30"/>
      <c r="G66" s="30"/>
      <c r="H66" s="30"/>
      <c r="I66" s="30"/>
      <c r="M66" s="9" t="s">
        <v>63</v>
      </c>
    </row>
    <row r="67" spans="3:13">
      <c r="D67" s="25"/>
    </row>
    <row r="68" spans="3:13">
      <c r="D68" s="18"/>
    </row>
    <row r="69" spans="3:13">
      <c r="C69" s="10"/>
      <c r="D69" s="10"/>
      <c r="E69" s="10"/>
      <c r="F69" s="10"/>
      <c r="G69" s="10"/>
      <c r="H69" s="10"/>
      <c r="I69" s="10"/>
      <c r="J69" s="10"/>
    </row>
    <row r="70" spans="3:13">
      <c r="C70" s="10"/>
      <c r="D70" s="8"/>
      <c r="E70" s="8"/>
      <c r="F70" s="8"/>
      <c r="G70" s="8"/>
      <c r="H70" s="8"/>
      <c r="I70" s="8"/>
      <c r="J70" s="10"/>
    </row>
    <row r="71" spans="3:13">
      <c r="C71" s="10"/>
      <c r="D71" s="8"/>
      <c r="E71" s="8"/>
      <c r="F71" s="8"/>
      <c r="G71" s="8"/>
      <c r="H71" s="8"/>
      <c r="I71" s="8"/>
      <c r="J71" s="10"/>
    </row>
    <row r="72" spans="3:13">
      <c r="C72" s="10"/>
      <c r="D72" s="8"/>
      <c r="E72" s="8"/>
      <c r="F72" s="8"/>
      <c r="G72" s="8"/>
      <c r="H72" s="8"/>
      <c r="I72" s="8"/>
      <c r="J72" s="10"/>
    </row>
    <row r="73" spans="3:13">
      <c r="C73" s="10"/>
      <c r="D73" s="8"/>
      <c r="E73" s="8"/>
      <c r="F73" s="8"/>
      <c r="G73" s="8"/>
      <c r="H73" s="8"/>
      <c r="I73" s="8"/>
      <c r="J73" s="10"/>
      <c r="M73" s="9"/>
    </row>
    <row r="74" spans="3:13">
      <c r="C74" s="10"/>
      <c r="D74" s="8"/>
      <c r="E74" s="8"/>
      <c r="F74" s="8"/>
      <c r="G74" s="8"/>
      <c r="H74" s="8"/>
      <c r="I74" s="8"/>
      <c r="J74" s="10"/>
      <c r="M74" s="9"/>
    </row>
    <row r="75" spans="3:13">
      <c r="C75" s="10"/>
      <c r="D75" s="8"/>
      <c r="E75" s="8"/>
      <c r="F75" s="8"/>
      <c r="G75" s="8"/>
      <c r="H75" s="8"/>
      <c r="I75" s="8"/>
      <c r="J75" s="10"/>
      <c r="M75" s="9"/>
    </row>
    <row r="76" spans="3:13">
      <c r="C76" s="10"/>
      <c r="D76" s="10"/>
      <c r="E76" s="10"/>
      <c r="F76" s="10"/>
      <c r="G76" s="10"/>
      <c r="H76" s="10"/>
      <c r="I76" s="10"/>
      <c r="J76" s="10"/>
    </row>
    <row r="77" spans="3:13">
      <c r="C77" s="10"/>
      <c r="D77" s="10"/>
      <c r="E77" s="10"/>
      <c r="F77" s="10"/>
      <c r="G77" s="10"/>
      <c r="H77" s="10"/>
      <c r="I77" s="10"/>
      <c r="J77" s="10"/>
    </row>
    <row r="78" spans="3:13">
      <c r="C78" s="21"/>
      <c r="D78" s="10"/>
      <c r="E78" s="10"/>
      <c r="F78" s="10"/>
      <c r="G78" s="10"/>
      <c r="H78" s="10"/>
      <c r="I78" s="10"/>
      <c r="J78" s="10"/>
    </row>
    <row r="79" spans="3:13">
      <c r="C79" s="10"/>
      <c r="D79" s="10"/>
      <c r="E79" s="10"/>
      <c r="F79" s="10"/>
      <c r="G79" s="10"/>
      <c r="H79" s="10"/>
      <c r="I79" s="10"/>
      <c r="J79" s="10"/>
    </row>
    <row r="80" spans="3:13">
      <c r="C80" s="8"/>
      <c r="D80" s="10"/>
      <c r="E80" s="10"/>
      <c r="F80" s="10"/>
      <c r="G80" s="10"/>
      <c r="H80" s="10"/>
      <c r="I80" s="10"/>
      <c r="J80" s="10"/>
    </row>
    <row r="81" spans="3:10">
      <c r="C81" s="10"/>
      <c r="D81" s="10"/>
      <c r="E81" s="10"/>
      <c r="F81" s="10"/>
      <c r="G81" s="10"/>
      <c r="H81" s="10"/>
      <c r="I81" s="10"/>
      <c r="J81" s="10"/>
    </row>
    <row r="82" spans="3:10">
      <c r="C82" s="10"/>
      <c r="D82" s="10"/>
      <c r="E82" s="10"/>
      <c r="F82" s="10"/>
      <c r="G82" s="10"/>
      <c r="H82" s="10"/>
      <c r="I82" s="10"/>
      <c r="J82" s="10"/>
    </row>
    <row r="83" spans="3:10">
      <c r="C83" s="10"/>
      <c r="D83" s="10"/>
      <c r="E83" s="10"/>
      <c r="F83" s="10"/>
      <c r="G83" s="10"/>
      <c r="H83" s="10"/>
      <c r="I83" s="10"/>
      <c r="J83" s="10"/>
    </row>
    <row r="84" spans="3:10">
      <c r="C84" s="10"/>
      <c r="D84" s="10"/>
      <c r="E84" s="10"/>
      <c r="F84" s="10"/>
      <c r="G84" s="10"/>
      <c r="H84" s="10"/>
      <c r="I84" s="10"/>
      <c r="J84" s="10"/>
    </row>
    <row r="85" spans="3:10">
      <c r="C85" s="10"/>
      <c r="D85" s="10"/>
      <c r="E85" s="10"/>
      <c r="F85" s="10"/>
      <c r="G85" s="10"/>
      <c r="H85" s="10"/>
      <c r="I85" s="10"/>
      <c r="J85" s="10"/>
    </row>
  </sheetData>
  <mergeCells count="3">
    <mergeCell ref="D22:I22"/>
    <mergeCell ref="D34:I34"/>
    <mergeCell ref="D46:I46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L36"/>
  <sheetViews>
    <sheetView zoomScaleNormal="100" workbookViewId="0">
      <selection activeCell="F36" sqref="F36"/>
    </sheetView>
  </sheetViews>
  <sheetFormatPr defaultRowHeight="15"/>
  <cols>
    <col min="6" max="6" width="29.140625" customWidth="1"/>
    <col min="7" max="7" width="16.85546875" customWidth="1"/>
  </cols>
  <sheetData>
    <row r="2" spans="4:9">
      <c r="F2" t="s">
        <v>111</v>
      </c>
    </row>
    <row r="3" spans="4:9">
      <c r="D3" s="35"/>
      <c r="F3" s="36" t="s">
        <v>28</v>
      </c>
      <c r="G3" s="37"/>
      <c r="H3" s="37"/>
      <c r="I3" s="37"/>
    </row>
    <row r="4" spans="4:9">
      <c r="D4" s="35"/>
      <c r="F4" s="37" t="s">
        <v>112</v>
      </c>
      <c r="G4" s="38">
        <v>3500000</v>
      </c>
      <c r="H4" s="37" t="s">
        <v>113</v>
      </c>
      <c r="I4" s="37"/>
    </row>
    <row r="5" spans="4:9">
      <c r="D5" s="35"/>
      <c r="F5" s="37" t="s">
        <v>114</v>
      </c>
      <c r="G5" s="39">
        <v>1000</v>
      </c>
      <c r="H5" s="37" t="s">
        <v>113</v>
      </c>
      <c r="I5" s="37"/>
    </row>
    <row r="6" spans="4:9">
      <c r="D6" s="35"/>
      <c r="F6" s="37" t="s">
        <v>115</v>
      </c>
      <c r="G6" s="39">
        <v>5</v>
      </c>
      <c r="H6" s="37" t="s">
        <v>116</v>
      </c>
      <c r="I6" s="37"/>
    </row>
    <row r="7" spans="4:9">
      <c r="D7" s="35"/>
      <c r="F7" s="37" t="s">
        <v>117</v>
      </c>
      <c r="G7" s="40">
        <v>0.1</v>
      </c>
      <c r="H7" s="37" t="s">
        <v>45</v>
      </c>
      <c r="I7" s="37"/>
    </row>
    <row r="8" spans="4:9">
      <c r="D8" s="35"/>
      <c r="F8" s="37"/>
      <c r="G8" s="37"/>
      <c r="H8" s="37"/>
      <c r="I8" s="37"/>
    </row>
    <row r="9" spans="4:9">
      <c r="D9" s="35"/>
      <c r="F9" s="37"/>
      <c r="G9" s="37"/>
      <c r="H9" s="37"/>
      <c r="I9" s="37"/>
    </row>
    <row r="10" spans="4:9">
      <c r="D10" s="35"/>
      <c r="F10" s="37"/>
      <c r="G10" s="37"/>
      <c r="H10" s="37"/>
      <c r="I10" s="37"/>
    </row>
    <row r="11" spans="4:9">
      <c r="D11" s="35"/>
      <c r="F11" s="37" t="s">
        <v>118</v>
      </c>
      <c r="G11" s="38">
        <v>4000000</v>
      </c>
      <c r="H11" s="37"/>
      <c r="I11" s="37"/>
    </row>
    <row r="12" spans="4:9">
      <c r="D12" s="35"/>
      <c r="F12" s="37"/>
      <c r="G12" s="37"/>
      <c r="H12" s="37"/>
      <c r="I12" s="37"/>
    </row>
    <row r="13" spans="4:9">
      <c r="D13" s="35"/>
      <c r="F13" s="37"/>
      <c r="G13" s="37"/>
      <c r="H13" s="37"/>
      <c r="I13" s="37"/>
    </row>
    <row r="14" spans="4:9">
      <c r="D14" s="35"/>
      <c r="F14" s="37" t="s">
        <v>119</v>
      </c>
      <c r="G14" s="37">
        <v>0.75</v>
      </c>
      <c r="H14" s="37"/>
      <c r="I14" s="37"/>
    </row>
    <row r="15" spans="4:9">
      <c r="D15" s="35"/>
      <c r="F15" s="37" t="s">
        <v>120</v>
      </c>
      <c r="G15" s="37">
        <v>0.25</v>
      </c>
      <c r="H15" s="37"/>
      <c r="I15" s="37"/>
    </row>
    <row r="16" spans="4:9">
      <c r="D16" s="35"/>
      <c r="F16" s="37" t="s">
        <v>121</v>
      </c>
      <c r="G16" s="37">
        <v>1.2</v>
      </c>
      <c r="H16" s="37"/>
      <c r="I16" s="37"/>
    </row>
    <row r="17" spans="4:12">
      <c r="D17" s="35"/>
      <c r="F17" s="37" t="s">
        <v>122</v>
      </c>
      <c r="G17" s="37">
        <v>0.9</v>
      </c>
      <c r="H17" s="37"/>
      <c r="I17" s="37"/>
    </row>
    <row r="18" spans="4:12">
      <c r="D18" s="35"/>
      <c r="F18" s="37"/>
      <c r="G18" s="37"/>
      <c r="H18" s="37"/>
      <c r="I18" s="37"/>
    </row>
    <row r="19" spans="4:12">
      <c r="D19" s="35"/>
      <c r="F19" s="37"/>
      <c r="G19" s="37"/>
      <c r="H19" s="37"/>
      <c r="I19" s="37"/>
    </row>
    <row r="24" spans="4:12">
      <c r="F24" s="41" t="s">
        <v>29</v>
      </c>
      <c r="G24" s="41"/>
      <c r="H24" s="41"/>
      <c r="I24" s="41"/>
      <c r="J24" s="41"/>
      <c r="K24" s="41"/>
      <c r="L24" s="41"/>
    </row>
    <row r="25" spans="4:12" ht="15.75">
      <c r="F25" s="41"/>
      <c r="G25" s="93" t="s">
        <v>123</v>
      </c>
      <c r="H25" s="93">
        <v>0</v>
      </c>
      <c r="I25" s="93">
        <v>1</v>
      </c>
      <c r="J25" s="93">
        <v>2</v>
      </c>
      <c r="K25" s="93">
        <v>3</v>
      </c>
      <c r="L25" s="93">
        <v>4</v>
      </c>
    </row>
    <row r="26" spans="4:12" ht="31.5">
      <c r="D26" s="42"/>
      <c r="F26" s="43"/>
      <c r="G26" s="93" t="s">
        <v>124</v>
      </c>
      <c r="H26" s="94">
        <v>0.1</v>
      </c>
      <c r="I26" s="94">
        <v>0.09</v>
      </c>
      <c r="J26" s="94">
        <v>0.08</v>
      </c>
      <c r="K26" s="94">
        <v>7.0000000000000007E-2</v>
      </c>
      <c r="L26" s="94">
        <v>0.06</v>
      </c>
    </row>
    <row r="27" spans="4:12" ht="15.75">
      <c r="D27" s="42"/>
      <c r="F27" s="43"/>
      <c r="G27" s="43"/>
      <c r="H27" s="43"/>
      <c r="I27" s="43"/>
      <c r="J27" s="43"/>
      <c r="K27" s="43"/>
      <c r="L27" s="43"/>
    </row>
    <row r="28" spans="4:12" ht="15.75">
      <c r="D28" s="42"/>
      <c r="F28" s="43"/>
      <c r="G28" s="43"/>
      <c r="H28" s="43"/>
      <c r="I28" s="43"/>
      <c r="J28" s="43"/>
      <c r="K28" s="43"/>
      <c r="L28" s="43"/>
    </row>
    <row r="29" spans="4:12">
      <c r="F29" s="43"/>
      <c r="G29" s="43"/>
      <c r="H29" s="43"/>
      <c r="I29" s="43"/>
      <c r="J29" s="43"/>
      <c r="K29" s="43"/>
      <c r="L29" s="43"/>
    </row>
    <row r="30" spans="4:12">
      <c r="F30" s="43"/>
      <c r="G30" s="43"/>
      <c r="H30" s="43"/>
      <c r="I30" s="43"/>
      <c r="J30" s="43"/>
      <c r="K30" s="43"/>
      <c r="L30" s="43"/>
    </row>
    <row r="36" spans="6:6">
      <c r="F36" t="s">
        <v>30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85" zoomScaleNormal="85" workbookViewId="0">
      <selection activeCell="G29" sqref="G29"/>
    </sheetView>
  </sheetViews>
  <sheetFormatPr defaultRowHeight="15"/>
  <cols>
    <col min="1" max="1" width="9.85546875" customWidth="1"/>
    <col min="6" max="10" width="12.5703125" customWidth="1"/>
    <col min="11" max="11" width="14" bestFit="1" customWidth="1"/>
    <col min="12" max="12" width="23.140625" bestFit="1" customWidth="1"/>
    <col min="13" max="13" width="3.42578125" customWidth="1"/>
    <col min="14" max="14" width="14" bestFit="1" customWidth="1"/>
    <col min="15" max="15" width="23.140625" bestFit="1" customWidth="1"/>
  </cols>
  <sheetData>
    <row r="1" spans="1:16">
      <c r="A1" t="s">
        <v>85</v>
      </c>
      <c r="B1">
        <f>'Q2 Data'!G11</f>
        <v>4000000</v>
      </c>
      <c r="C1" t="s">
        <v>86</v>
      </c>
    </row>
    <row r="2" spans="1:16">
      <c r="A2" t="s">
        <v>87</v>
      </c>
      <c r="B2">
        <f>'Q2 Data'!G16</f>
        <v>1.2</v>
      </c>
    </row>
    <row r="3" spans="1:16">
      <c r="A3" t="s">
        <v>88</v>
      </c>
      <c r="B3">
        <f>'Q2 Data'!G17</f>
        <v>0.9</v>
      </c>
      <c r="C3" s="19"/>
    </row>
    <row r="4" spans="1:16">
      <c r="M4" s="44"/>
    </row>
    <row r="5" spans="1:16">
      <c r="M5" s="10"/>
      <c r="N5" s="97"/>
      <c r="O5" s="97"/>
      <c r="P5" s="10"/>
    </row>
    <row r="6" spans="1:16">
      <c r="M6" s="10"/>
      <c r="N6" s="10"/>
      <c r="O6" s="10"/>
      <c r="P6" s="10"/>
    </row>
    <row r="7" spans="1:16">
      <c r="M7" s="10"/>
      <c r="N7" s="10"/>
      <c r="O7" s="10"/>
      <c r="P7" s="10"/>
    </row>
    <row r="8" spans="1:16">
      <c r="G8" s="95"/>
      <c r="H8" s="95"/>
      <c r="I8" s="95"/>
      <c r="J8" s="95"/>
      <c r="K8" s="95"/>
      <c r="L8" s="95"/>
      <c r="M8" s="10"/>
      <c r="N8" s="10"/>
      <c r="O8" s="10"/>
      <c r="P8" s="10"/>
    </row>
    <row r="9" spans="1:16">
      <c r="E9" t="s">
        <v>31</v>
      </c>
      <c r="M9" s="10"/>
      <c r="N9" s="10"/>
      <c r="O9" s="10"/>
      <c r="P9" s="10"/>
    </row>
    <row r="10" spans="1:16">
      <c r="M10" s="10"/>
      <c r="N10" s="10"/>
      <c r="O10" s="10"/>
      <c r="P10" s="10"/>
    </row>
    <row r="11" spans="1:16">
      <c r="E11" s="45"/>
      <c r="F11" s="45"/>
      <c r="G11" s="45"/>
      <c r="H11" s="45"/>
      <c r="I11" s="45"/>
      <c r="J11" s="45"/>
      <c r="K11" s="45"/>
      <c r="L11" s="45"/>
      <c r="M11" s="10"/>
      <c r="N11" s="10"/>
      <c r="O11" s="10"/>
      <c r="P11" s="10"/>
    </row>
    <row r="12" spans="1:16">
      <c r="E12" s="45" t="s">
        <v>32</v>
      </c>
      <c r="F12" s="45">
        <v>1</v>
      </c>
      <c r="G12" s="45">
        <f>F12+1</f>
        <v>2</v>
      </c>
      <c r="H12" s="45">
        <f t="shared" ref="H12:J12" si="0">G12+1</f>
        <v>3</v>
      </c>
      <c r="I12" s="45">
        <f t="shared" si="0"/>
        <v>4</v>
      </c>
      <c r="J12" s="45">
        <f t="shared" si="0"/>
        <v>5</v>
      </c>
      <c r="K12" s="45"/>
      <c r="L12" s="45"/>
      <c r="M12" s="10"/>
      <c r="N12" s="10"/>
      <c r="O12" s="10"/>
      <c r="P12" s="10"/>
    </row>
    <row r="13" spans="1:16">
      <c r="E13" s="45"/>
      <c r="F13" s="45"/>
      <c r="G13" s="45"/>
      <c r="H13" s="45"/>
      <c r="I13" s="45"/>
      <c r="J13" s="46">
        <f>I14*$B$2</f>
        <v>9953280</v>
      </c>
      <c r="K13" s="45"/>
      <c r="L13" s="45"/>
      <c r="M13" s="10"/>
      <c r="N13" s="10"/>
      <c r="O13" s="10"/>
      <c r="P13" s="10"/>
    </row>
    <row r="14" spans="1:16">
      <c r="E14" s="45"/>
      <c r="F14" s="45"/>
      <c r="G14" s="45"/>
      <c r="H14" s="45"/>
      <c r="I14" s="46">
        <f>H15*$B$2</f>
        <v>8294400</v>
      </c>
      <c r="J14" s="45"/>
      <c r="K14" s="45"/>
      <c r="L14" s="45"/>
      <c r="M14" s="10"/>
      <c r="N14" s="10"/>
      <c r="O14" s="10"/>
      <c r="P14" s="10"/>
    </row>
    <row r="15" spans="1:16">
      <c r="E15" s="45"/>
      <c r="F15" s="45"/>
      <c r="G15" s="45"/>
      <c r="H15" s="46">
        <f>G16*$B$2</f>
        <v>6912000</v>
      </c>
      <c r="I15" s="45"/>
      <c r="J15" s="46">
        <f>I16*$B$2</f>
        <v>7464960</v>
      </c>
      <c r="K15" s="45"/>
      <c r="L15" s="45"/>
      <c r="M15" s="10"/>
      <c r="N15" s="10"/>
      <c r="O15" s="10"/>
      <c r="P15" s="10"/>
    </row>
    <row r="16" spans="1:16">
      <c r="E16" s="45"/>
      <c r="F16" s="45"/>
      <c r="G16" s="46">
        <f>F17*$B$2</f>
        <v>5760000</v>
      </c>
      <c r="H16" s="45"/>
      <c r="I16" s="46">
        <f>H17*$B$2</f>
        <v>6220800</v>
      </c>
      <c r="J16" s="45"/>
      <c r="K16" s="45"/>
      <c r="L16" s="45"/>
      <c r="M16" s="10"/>
      <c r="N16" s="10"/>
      <c r="O16" s="10"/>
      <c r="P16" s="10"/>
    </row>
    <row r="17" spans="5:16">
      <c r="E17" s="45"/>
      <c r="F17" s="46">
        <f>E18*$B$2</f>
        <v>4800000</v>
      </c>
      <c r="G17" s="45"/>
      <c r="H17" s="46">
        <f>G18*$B$2</f>
        <v>5184000</v>
      </c>
      <c r="I17" s="45"/>
      <c r="J17" s="46">
        <f>I18*$B$2</f>
        <v>5598720</v>
      </c>
      <c r="K17" s="45"/>
      <c r="L17" s="45"/>
      <c r="M17" s="10"/>
      <c r="N17" s="10"/>
      <c r="O17" s="10"/>
      <c r="P17" s="10"/>
    </row>
    <row r="18" spans="5:16">
      <c r="E18" s="46">
        <f>B1</f>
        <v>4000000</v>
      </c>
      <c r="F18" s="45"/>
      <c r="G18" s="46">
        <f>F19*$B$2</f>
        <v>4320000</v>
      </c>
      <c r="H18" s="45"/>
      <c r="I18" s="46">
        <f>H19*$B$2</f>
        <v>4665600</v>
      </c>
      <c r="J18" s="45"/>
      <c r="K18" s="45"/>
      <c r="L18" s="45"/>
      <c r="M18" s="10"/>
      <c r="N18" s="10"/>
      <c r="O18" s="10"/>
      <c r="P18" s="10"/>
    </row>
    <row r="19" spans="5:16">
      <c r="E19" s="45"/>
      <c r="F19" s="46">
        <f>E18*$B$3</f>
        <v>3600000</v>
      </c>
      <c r="G19" s="45"/>
      <c r="H19" s="46">
        <f>G20*$B$2</f>
        <v>3888000</v>
      </c>
      <c r="I19" s="45"/>
      <c r="J19" s="46">
        <f>I20*$B$2</f>
        <v>4199040</v>
      </c>
      <c r="K19" s="45"/>
      <c r="L19" s="45"/>
      <c r="M19" s="10"/>
      <c r="N19" s="10"/>
      <c r="O19" s="10"/>
      <c r="P19" s="10"/>
    </row>
    <row r="20" spans="5:16">
      <c r="E20" s="45"/>
      <c r="F20" s="45"/>
      <c r="G20" s="46">
        <f>F19*$B$3</f>
        <v>3240000</v>
      </c>
      <c r="H20" s="45"/>
      <c r="I20" s="46">
        <f>H21*$B$2</f>
        <v>3499200</v>
      </c>
      <c r="J20" s="45"/>
      <c r="K20" s="45"/>
      <c r="L20" s="45"/>
      <c r="M20" s="10"/>
      <c r="N20" s="10"/>
      <c r="O20" s="10"/>
      <c r="P20" s="10"/>
    </row>
    <row r="21" spans="5:16">
      <c r="E21" s="45"/>
      <c r="F21" s="45"/>
      <c r="G21" s="45"/>
      <c r="H21" s="46">
        <f>G20*$B$3</f>
        <v>2916000</v>
      </c>
      <c r="I21" s="45"/>
      <c r="J21" s="46">
        <f>I22*$B$2</f>
        <v>3149280</v>
      </c>
      <c r="K21" s="45"/>
      <c r="L21" s="45"/>
      <c r="M21" s="10"/>
      <c r="N21" s="10"/>
      <c r="O21" s="10"/>
      <c r="P21" s="10"/>
    </row>
    <row r="22" spans="5:16">
      <c r="E22" s="45"/>
      <c r="F22" s="45"/>
      <c r="G22" s="45"/>
      <c r="H22" s="45"/>
      <c r="I22" s="46">
        <f>H21*$B$3</f>
        <v>2624400</v>
      </c>
      <c r="J22" s="45"/>
      <c r="K22" s="45"/>
      <c r="L22" s="45"/>
      <c r="M22" s="10"/>
      <c r="N22" s="10"/>
      <c r="O22" s="10"/>
      <c r="P22" s="10"/>
    </row>
    <row r="23" spans="5:16">
      <c r="E23" s="45"/>
      <c r="F23" s="45"/>
      <c r="G23" s="45"/>
      <c r="H23" s="45"/>
      <c r="I23" s="45"/>
      <c r="J23" s="46">
        <f>I22*$B$3</f>
        <v>2361960</v>
      </c>
      <c r="K23" s="45"/>
      <c r="L23" s="45"/>
      <c r="M23" s="10"/>
      <c r="N23" s="10"/>
      <c r="O23" s="10"/>
      <c r="P23" s="10"/>
    </row>
    <row r="24" spans="5:16">
      <c r="E24" s="45"/>
      <c r="F24" s="45"/>
      <c r="G24" s="45"/>
      <c r="H24" s="45"/>
      <c r="I24" s="45"/>
      <c r="J24" s="45"/>
      <c r="K24" s="45"/>
      <c r="L24" s="45"/>
    </row>
    <row r="25" spans="5:16">
      <c r="E25" s="45"/>
      <c r="F25" s="45"/>
      <c r="G25" s="45"/>
      <c r="H25" s="45"/>
      <c r="I25" s="45"/>
      <c r="J25" s="45"/>
      <c r="K25" s="45"/>
      <c r="L25" s="45"/>
    </row>
    <row r="26" spans="5:16">
      <c r="E26" s="45"/>
      <c r="F26" s="45"/>
      <c r="G26" s="45"/>
      <c r="H26" s="45"/>
      <c r="I26" s="45"/>
      <c r="J26" s="45"/>
      <c r="K26" s="45"/>
      <c r="L26" s="45"/>
    </row>
    <row r="27" spans="5:16">
      <c r="E27" t="s">
        <v>127</v>
      </c>
    </row>
  </sheetData>
  <mergeCells count="2">
    <mergeCell ref="N5:O5"/>
    <mergeCell ref="G8:L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opLeftCell="H1" zoomScale="68" zoomScaleNormal="68" workbookViewId="0">
      <selection activeCell="M35" sqref="M35"/>
    </sheetView>
  </sheetViews>
  <sheetFormatPr defaultRowHeight="15"/>
  <cols>
    <col min="1" max="1" width="23.5703125" customWidth="1"/>
    <col min="4" max="4" width="27.42578125" customWidth="1"/>
    <col min="5" max="5" width="24.42578125" customWidth="1"/>
    <col min="6" max="6" width="31.5703125" customWidth="1"/>
    <col min="7" max="7" width="28.5703125" customWidth="1"/>
    <col min="8" max="8" width="23.85546875" customWidth="1"/>
    <col min="9" max="9" width="18.85546875" bestFit="1" customWidth="1"/>
    <col min="10" max="11" width="12.5703125" customWidth="1"/>
    <col min="12" max="12" width="16.85546875" bestFit="1" customWidth="1"/>
    <col min="13" max="13" width="16.85546875" customWidth="1"/>
    <col min="14" max="14" width="19.42578125" customWidth="1"/>
    <col min="15" max="15" width="14" bestFit="1" customWidth="1"/>
    <col min="16" max="16" width="18.42578125" customWidth="1"/>
    <col min="17" max="17" width="15.42578125" customWidth="1"/>
  </cols>
  <sheetData>
    <row r="1" spans="1:18">
      <c r="A1" t="s">
        <v>89</v>
      </c>
      <c r="B1">
        <f>'Q2 Data'!G11</f>
        <v>4000000</v>
      </c>
      <c r="C1" t="s">
        <v>90</v>
      </c>
    </row>
    <row r="2" spans="1:18">
      <c r="A2" t="s">
        <v>91</v>
      </c>
      <c r="B2">
        <f>'Q2 Data'!G4</f>
        <v>3500000</v>
      </c>
      <c r="C2" t="s">
        <v>92</v>
      </c>
    </row>
    <row r="3" spans="1:18">
      <c r="A3" t="s">
        <v>93</v>
      </c>
      <c r="B3" s="19">
        <f>'Q2 Data'!G7</f>
        <v>0.1</v>
      </c>
      <c r="C3" s="19" t="s">
        <v>94</v>
      </c>
    </row>
    <row r="4" spans="1:18">
      <c r="A4" t="s">
        <v>87</v>
      </c>
      <c r="B4">
        <f>'Q2 Data'!G16</f>
        <v>1.2</v>
      </c>
      <c r="C4" t="s">
        <v>95</v>
      </c>
    </row>
    <row r="5" spans="1:18">
      <c r="A5" t="s">
        <v>88</v>
      </c>
      <c r="B5">
        <f>'Q2 Data'!G17</f>
        <v>0.9</v>
      </c>
      <c r="C5" t="s">
        <v>96</v>
      </c>
    </row>
    <row r="6" spans="1:18">
      <c r="A6" t="s">
        <v>97</v>
      </c>
      <c r="B6">
        <f>'Q2 Data'!G14</f>
        <v>0.75</v>
      </c>
      <c r="C6" t="s">
        <v>98</v>
      </c>
    </row>
    <row r="7" spans="1:18">
      <c r="A7" t="s">
        <v>99</v>
      </c>
      <c r="B7">
        <f>'Q2 Data'!G15</f>
        <v>0.25</v>
      </c>
      <c r="C7" t="s">
        <v>100</v>
      </c>
    </row>
    <row r="8" spans="1:18">
      <c r="G8" s="95"/>
      <c r="H8" s="95"/>
      <c r="I8" s="95"/>
      <c r="J8" s="95"/>
      <c r="K8" s="95"/>
      <c r="L8" s="95"/>
    </row>
    <row r="9" spans="1:18">
      <c r="E9" t="s">
        <v>31</v>
      </c>
      <c r="G9" t="s">
        <v>101</v>
      </c>
      <c r="M9" s="95" t="s">
        <v>102</v>
      </c>
      <c r="N9" s="95"/>
      <c r="P9" s="95"/>
      <c r="Q9" s="95"/>
    </row>
    <row r="11" spans="1:18">
      <c r="E11" s="45"/>
      <c r="F11" s="45"/>
      <c r="G11" s="45"/>
      <c r="H11" s="45"/>
      <c r="I11" s="45"/>
      <c r="M11" s="45"/>
      <c r="N11" s="45"/>
      <c r="O11" s="45"/>
      <c r="P11" s="45"/>
      <c r="Q11" s="45"/>
      <c r="R11" t="s">
        <v>103</v>
      </c>
    </row>
    <row r="12" spans="1:18">
      <c r="E12" s="45">
        <v>1</v>
      </c>
      <c r="F12" s="45">
        <f>E12+1</f>
        <v>2</v>
      </c>
      <c r="G12" s="45">
        <f t="shared" ref="G12:I12" si="0">F12+1</f>
        <v>3</v>
      </c>
      <c r="H12" s="45">
        <f t="shared" si="0"/>
        <v>4</v>
      </c>
      <c r="I12" s="45">
        <f t="shared" si="0"/>
        <v>5</v>
      </c>
      <c r="M12" s="47" t="s">
        <v>32</v>
      </c>
      <c r="N12" s="47">
        <v>1</v>
      </c>
      <c r="O12" s="47">
        <f>N12+1</f>
        <v>2</v>
      </c>
      <c r="P12" s="47">
        <f t="shared" ref="P12:R12" si="1">O12+1</f>
        <v>3</v>
      </c>
      <c r="Q12" s="47">
        <f t="shared" si="1"/>
        <v>4</v>
      </c>
      <c r="R12" s="47">
        <f t="shared" si="1"/>
        <v>5</v>
      </c>
    </row>
    <row r="13" spans="1:18">
      <c r="E13" s="45"/>
      <c r="F13" s="45"/>
      <c r="G13" s="45"/>
      <c r="H13" s="45"/>
      <c r="I13" s="45"/>
      <c r="M13" s="45"/>
      <c r="N13" s="45"/>
      <c r="O13" s="45"/>
      <c r="P13" s="45"/>
      <c r="Q13" s="45"/>
      <c r="R13" s="45">
        <v>0</v>
      </c>
    </row>
    <row r="14" spans="1:18">
      <c r="E14" s="48"/>
      <c r="F14" s="48"/>
      <c r="G14" s="48"/>
      <c r="H14" s="48"/>
      <c r="I14" s="48">
        <f>MAX('Q2 Data'!$G$5*('Q2 (i)'!I14-$B$2),0)</f>
        <v>4794400000</v>
      </c>
      <c r="M14" s="45"/>
      <c r="N14" s="45"/>
      <c r="O14" s="45"/>
      <c r="P14" s="45"/>
      <c r="Q14" s="45">
        <f>($B$30*(I14+R13)+(1-$B$30)*(I14+R15))*EXP(-$B$3)</f>
        <v>4338152517.0316048</v>
      </c>
      <c r="R14" s="45"/>
    </row>
    <row r="15" spans="1:18">
      <c r="E15" s="48"/>
      <c r="F15" s="48"/>
      <c r="G15" s="48"/>
      <c r="H15" s="48">
        <f>MAX('Q2 Data'!$G$5*('Q2 (i)'!H15-$B$2),0)</f>
        <v>3412000000</v>
      </c>
      <c r="I15" s="48"/>
      <c r="M15" s="45"/>
      <c r="N15" s="45"/>
      <c r="O15" s="45"/>
      <c r="P15" s="45">
        <f>($B$30*(H15+Q14)+(1-$B$30)*(H15+Q16))*EXP(-$B$3)</f>
        <v>6475983868.0303097</v>
      </c>
      <c r="Q15" s="45"/>
      <c r="R15" s="45">
        <v>0</v>
      </c>
    </row>
    <row r="16" spans="1:18">
      <c r="E16" s="48"/>
      <c r="F16" s="48"/>
      <c r="G16" s="48">
        <f>MAX('Q2 Data'!$G$5*('Q2 (i)'!G16-$B$2),0)</f>
        <v>2260000000</v>
      </c>
      <c r="H16" s="48"/>
      <c r="I16" s="48">
        <f>MAX('Q2 Data'!$G$5*('Q2 (i)'!I16-$B$2),0)</f>
        <v>2720800000</v>
      </c>
      <c r="M16" s="45"/>
      <c r="N16" s="45"/>
      <c r="O16" s="45">
        <f>($B$30*(G16+P15)+(1-$B$30)*(G16+P17))*EXP(-$B$3)</f>
        <v>7010238212.3765745</v>
      </c>
      <c r="P16" s="45"/>
      <c r="Q16" s="45">
        <f>($B$30*(I16+R15)+(1-$B$30)*(I16+R17))*EXP(-$B$3)</f>
        <v>2461881646.9922385</v>
      </c>
      <c r="R16" s="45"/>
    </row>
    <row r="17" spans="1:18">
      <c r="E17" s="48"/>
      <c r="F17" s="48">
        <f>MAX('Q2 Data'!$G$5*('Q2 (i)'!F17-$B$2),0)</f>
        <v>1300000000</v>
      </c>
      <c r="G17" s="48"/>
      <c r="H17" s="48">
        <f>MAX('Q2 Data'!$G$5*('Q2 (i)'!H17-$B$2),0)</f>
        <v>1684000000</v>
      </c>
      <c r="I17" s="48"/>
      <c r="M17" s="45"/>
      <c r="N17" s="45">
        <f>($B$30*(F17+O16)+(1-$B$30)*(F17+O18))*EXP(-$B$3)</f>
        <v>6401422830.7475271</v>
      </c>
      <c r="O17" s="45"/>
      <c r="P17" s="45">
        <f>($B$30*(H17+Q16)+(1-$B$30)*(H17+Q18))*EXP(-$B$3)</f>
        <v>3348865751.2980337</v>
      </c>
      <c r="Q17" s="45"/>
      <c r="R17" s="45">
        <v>0</v>
      </c>
    </row>
    <row r="18" spans="1:18">
      <c r="E18" s="48">
        <f>MAX('Q2 Data'!G5*('Q2 (i)'!E18-$B$2),0)</f>
        <v>500000000</v>
      </c>
      <c r="F18" s="48"/>
      <c r="G18" s="48">
        <f>MAX('Q2 Data'!$G$5*('Q2 (i)'!G18-$B$2),0)</f>
        <v>820000000</v>
      </c>
      <c r="H18" s="48"/>
      <c r="I18" s="48">
        <f>MAX('Q2 Data'!$G$5*('Q2 (i)'!I18-$B$2),0)</f>
        <v>1165600000</v>
      </c>
      <c r="M18" s="45">
        <f>($B$30*(E18+N17)+(1-$B$30)*(E18+N19))*EXP(-$B$3)</f>
        <v>5039371694.873456</v>
      </c>
      <c r="N18" s="45"/>
      <c r="O18" s="45">
        <f>($B$30*(G18+P17)+(1-$B$30)*(G18+P19))*EXP(-$B$3)</f>
        <v>3101399782.8917222</v>
      </c>
      <c r="P18" s="45"/>
      <c r="Q18" s="45">
        <f>($B$30*(I18+R17)+(1-$B$30)*(I18+R19))*EXP(-$B$3)</f>
        <v>1054678494.4627144</v>
      </c>
      <c r="R18" s="45"/>
    </row>
    <row r="19" spans="1:18">
      <c r="E19" s="48"/>
      <c r="F19" s="48">
        <f>MAX('Q2 Data'!$G$5*('Q2 (i)'!F19-$B$2),0)</f>
        <v>100000000</v>
      </c>
      <c r="G19" s="48"/>
      <c r="H19" s="48">
        <f>MAX('Q2 Data'!$G$5*('Q2 (i)'!H19-$B$2),0)</f>
        <v>388000000</v>
      </c>
      <c r="I19" s="48"/>
      <c r="M19" s="45"/>
      <c r="N19" s="45">
        <f>($B$30*(F19+O18)+(1-$B$30)*(F19+O20))*EXP(-$B$3)</f>
        <v>2187349169.476356</v>
      </c>
      <c r="O19" s="45"/>
      <c r="P19" s="45">
        <f>($B$30*(H19+Q18)+(1-$B$30)*(H19+Q20))*EXP(-$B$3)</f>
        <v>1003734202.3772471</v>
      </c>
      <c r="Q19" s="45"/>
      <c r="R19" s="45">
        <v>0</v>
      </c>
    </row>
    <row r="20" spans="1:18">
      <c r="E20" s="48"/>
      <c r="F20" s="48"/>
      <c r="G20" s="48">
        <v>0</v>
      </c>
      <c r="H20" s="48"/>
      <c r="I20" s="48">
        <v>0</v>
      </c>
      <c r="M20" s="45"/>
      <c r="N20" s="45"/>
      <c r="O20" s="45">
        <f>($B$30*(G20+P19)+(1-$B$30)*(G20+P21))*EXP(-$B$3)</f>
        <v>621131882.37058926</v>
      </c>
      <c r="P20" s="45"/>
      <c r="Q20" s="45">
        <f>($B$30*(I20+R19)+(1-$B$30)*(I20+R21))*EXP(-$B$3)</f>
        <v>0</v>
      </c>
      <c r="R20" s="45"/>
    </row>
    <row r="21" spans="1:18">
      <c r="E21" s="48"/>
      <c r="F21" s="48"/>
      <c r="G21" s="48"/>
      <c r="H21" s="48">
        <v>0</v>
      </c>
      <c r="I21" s="48"/>
      <c r="M21" s="45"/>
      <c r="N21" s="45"/>
      <c r="O21" s="45"/>
      <c r="P21" s="45">
        <f>($B$30*(H21+Q20)+(1-$B$30)*(H21+Q22))*EXP(-$B$3)</f>
        <v>0</v>
      </c>
      <c r="Q21" s="45"/>
      <c r="R21" s="45">
        <v>0</v>
      </c>
    </row>
    <row r="22" spans="1:18">
      <c r="E22" s="48"/>
      <c r="F22" s="48"/>
      <c r="G22" s="48"/>
      <c r="H22" s="48"/>
      <c r="I22" s="48">
        <v>0</v>
      </c>
      <c r="M22" s="45"/>
      <c r="N22" s="45"/>
      <c r="O22" s="45"/>
      <c r="P22" s="45"/>
      <c r="Q22" s="45">
        <f>($B$30*(I22+R21)+(1-$B$30)*(I22+R23))*EXP(-$B$3)</f>
        <v>0</v>
      </c>
      <c r="R22" s="45"/>
    </row>
    <row r="23" spans="1:18">
      <c r="E23" s="48"/>
      <c r="F23" s="48"/>
      <c r="G23" s="48"/>
      <c r="H23" s="48"/>
      <c r="I23" s="48"/>
      <c r="M23" s="45"/>
      <c r="N23" s="45"/>
      <c r="O23" s="45"/>
      <c r="P23" s="45"/>
      <c r="Q23" s="45"/>
      <c r="R23" s="45">
        <v>0</v>
      </c>
    </row>
    <row r="24" spans="1:18">
      <c r="E24" s="48"/>
      <c r="F24" s="48"/>
      <c r="G24" s="48"/>
      <c r="H24" s="48"/>
      <c r="I24" s="48"/>
      <c r="M24" s="45"/>
      <c r="N24" s="45"/>
      <c r="O24" s="45"/>
      <c r="P24" s="45"/>
      <c r="Q24" s="45"/>
      <c r="R24" s="45"/>
    </row>
    <row r="25" spans="1:18">
      <c r="E25" s="48"/>
      <c r="F25" s="48"/>
      <c r="G25" s="48"/>
      <c r="H25" s="48"/>
      <c r="I25" s="48"/>
      <c r="M25" s="45"/>
      <c r="N25" s="45"/>
      <c r="O25" s="45"/>
      <c r="P25" s="45"/>
      <c r="Q25" s="45"/>
      <c r="R25" s="45"/>
    </row>
    <row r="26" spans="1:18">
      <c r="E26" s="48"/>
      <c r="F26" s="48"/>
      <c r="G26" s="48"/>
      <c r="H26" s="48"/>
      <c r="I26" s="48"/>
      <c r="M26" s="45"/>
      <c r="N26" s="45"/>
      <c r="O26" s="45"/>
      <c r="P26" s="45"/>
      <c r="Q26" s="45"/>
      <c r="R26" s="45"/>
    </row>
    <row r="28" spans="1:18">
      <c r="G28" t="s">
        <v>104</v>
      </c>
    </row>
    <row r="29" spans="1:18">
      <c r="A29" t="s">
        <v>105</v>
      </c>
      <c r="O29" t="s">
        <v>82</v>
      </c>
    </row>
    <row r="30" spans="1:18">
      <c r="A30" t="s">
        <v>106</v>
      </c>
      <c r="B30" s="45">
        <f>(EXP(B3)-B5)/(B4-B5)</f>
        <v>0.68390306025215908</v>
      </c>
      <c r="E30" t="s">
        <v>109</v>
      </c>
      <c r="F30" t="s">
        <v>107</v>
      </c>
      <c r="M30" s="49"/>
    </row>
    <row r="32" spans="1:18">
      <c r="M32" s="49"/>
    </row>
    <row r="35" spans="1:5">
      <c r="A35" s="50" t="s">
        <v>108</v>
      </c>
      <c r="B35" s="72">
        <f>M18/10000000</f>
        <v>503.93716948734561</v>
      </c>
      <c r="E35" t="s">
        <v>109</v>
      </c>
    </row>
  </sheetData>
  <mergeCells count="3">
    <mergeCell ref="G8:L8"/>
    <mergeCell ref="M9:N9"/>
    <mergeCell ref="P9:Q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68" zoomScaleNormal="68" workbookViewId="0">
      <selection activeCell="N29" sqref="N29"/>
    </sheetView>
  </sheetViews>
  <sheetFormatPr defaultRowHeight="15"/>
  <cols>
    <col min="1" max="1" width="23.5703125" customWidth="1"/>
    <col min="4" max="4" width="27.42578125" customWidth="1"/>
    <col min="5" max="5" width="24.42578125" customWidth="1"/>
    <col min="6" max="6" width="31.5703125" customWidth="1"/>
    <col min="7" max="7" width="28.5703125" customWidth="1"/>
    <col min="8" max="8" width="23.85546875" customWidth="1"/>
    <col min="9" max="9" width="19.5703125" customWidth="1"/>
    <col min="10" max="11" width="12.5703125" customWidth="1"/>
    <col min="12" max="12" width="16.85546875" bestFit="1" customWidth="1"/>
    <col min="13" max="13" width="16.85546875" customWidth="1"/>
    <col min="14" max="14" width="19.42578125" customWidth="1"/>
    <col min="15" max="15" width="14" bestFit="1" customWidth="1"/>
    <col min="16" max="16" width="18.42578125" customWidth="1"/>
    <col min="17" max="17" width="15.42578125" customWidth="1"/>
  </cols>
  <sheetData>
    <row r="1" spans="1:18">
      <c r="A1" t="s">
        <v>89</v>
      </c>
      <c r="B1">
        <f>'Q2 Data'!G11</f>
        <v>4000000</v>
      </c>
      <c r="C1" t="s">
        <v>90</v>
      </c>
    </row>
    <row r="2" spans="1:18">
      <c r="A2" t="s">
        <v>91</v>
      </c>
      <c r="B2">
        <f>'Q2 Data'!G4</f>
        <v>3500000</v>
      </c>
      <c r="C2" t="s">
        <v>92</v>
      </c>
    </row>
    <row r="3" spans="1:18">
      <c r="B3" s="19"/>
      <c r="C3" s="19"/>
    </row>
    <row r="4" spans="1:18">
      <c r="A4" t="s">
        <v>87</v>
      </c>
      <c r="B4">
        <f>'Q2 Data'!G16</f>
        <v>1.2</v>
      </c>
      <c r="C4" t="s">
        <v>95</v>
      </c>
    </row>
    <row r="5" spans="1:18">
      <c r="A5" t="s">
        <v>88</v>
      </c>
      <c r="B5">
        <f>'Q2 Data'!G17</f>
        <v>0.9</v>
      </c>
      <c r="C5" t="s">
        <v>96</v>
      </c>
    </row>
    <row r="8" spans="1:18">
      <c r="G8" s="95"/>
      <c r="H8" s="95"/>
      <c r="I8" s="95"/>
      <c r="J8" s="95"/>
      <c r="K8" s="95"/>
      <c r="L8" s="95"/>
    </row>
    <row r="9" spans="1:18">
      <c r="E9" s="2" t="s">
        <v>33</v>
      </c>
      <c r="M9" s="98" t="s">
        <v>102</v>
      </c>
      <c r="N9" s="98"/>
      <c r="P9" s="95"/>
      <c r="Q9" s="95"/>
    </row>
    <row r="11" spans="1:18">
      <c r="E11" s="45"/>
      <c r="F11" s="45"/>
      <c r="G11" s="45"/>
      <c r="H11" s="45"/>
      <c r="I11" s="45"/>
      <c r="M11" s="45"/>
      <c r="N11" s="45"/>
      <c r="O11" s="45"/>
      <c r="P11" s="45"/>
      <c r="Q11" s="45"/>
      <c r="R11" s="88" t="s">
        <v>103</v>
      </c>
    </row>
    <row r="12" spans="1:18">
      <c r="E12" s="45">
        <v>1</v>
      </c>
      <c r="F12" s="45">
        <f>E12+1</f>
        <v>2</v>
      </c>
      <c r="G12" s="45">
        <f t="shared" ref="G12:I12" si="0">F12+1</f>
        <v>3</v>
      </c>
      <c r="H12" s="45">
        <f t="shared" si="0"/>
        <v>4</v>
      </c>
      <c r="I12" s="45">
        <f t="shared" si="0"/>
        <v>5</v>
      </c>
      <c r="M12" s="47" t="s">
        <v>32</v>
      </c>
      <c r="N12" s="47">
        <v>1</v>
      </c>
      <c r="O12" s="47">
        <f>N12+1</f>
        <v>2</v>
      </c>
      <c r="P12" s="47">
        <f t="shared" ref="P12:R12" si="1">O12+1</f>
        <v>3</v>
      </c>
      <c r="Q12" s="47">
        <f t="shared" si="1"/>
        <v>4</v>
      </c>
      <c r="R12" s="47">
        <f t="shared" si="1"/>
        <v>5</v>
      </c>
    </row>
    <row r="13" spans="1:18">
      <c r="E13" s="45"/>
      <c r="F13" s="45"/>
      <c r="G13" s="45"/>
      <c r="H13" s="45"/>
      <c r="I13" s="45"/>
      <c r="M13" s="45"/>
      <c r="N13" s="45"/>
      <c r="O13" s="45"/>
      <c r="P13" s="45"/>
      <c r="Q13" s="45"/>
      <c r="R13" s="45">
        <v>0</v>
      </c>
    </row>
    <row r="14" spans="1:18">
      <c r="E14" s="48"/>
      <c r="F14" s="48"/>
      <c r="G14" s="48"/>
      <c r="H14" s="48"/>
      <c r="I14" s="48">
        <f>MAX('Q2 Data'!$G$5*('Q2 (i)'!I14-$B$2),0)</f>
        <v>4794400000</v>
      </c>
      <c r="M14" s="45"/>
      <c r="N14" s="45"/>
      <c r="O14" s="45"/>
      <c r="P14" s="45"/>
      <c r="Q14" s="45">
        <f>(Q$25*(I14+R13)+(1-Q$25)*(I14+R15))*EXP(-Q$24)</f>
        <v>4515195879.8163223</v>
      </c>
      <c r="R14" s="45"/>
    </row>
    <row r="15" spans="1:18">
      <c r="E15" s="48"/>
      <c r="F15" s="48"/>
      <c r="G15" s="48"/>
      <c r="H15" s="48">
        <f>MAX('Q2 Data'!$G$5*('Q2 (i)'!H15-$B$2),0)</f>
        <v>3412000000</v>
      </c>
      <c r="I15" s="48"/>
      <c r="M15" s="45"/>
      <c r="N15" s="45"/>
      <c r="O15" s="45"/>
      <c r="P15" s="45">
        <f>(P$25*(H15+Q14)+(1-P$25)*(H15+Q16))*EXP(-P$24)</f>
        <v>6617470161.4314594</v>
      </c>
      <c r="Q15" s="45"/>
      <c r="R15" s="45">
        <v>0</v>
      </c>
    </row>
    <row r="16" spans="1:18">
      <c r="E16" s="48"/>
      <c r="F16" s="48"/>
      <c r="G16" s="48">
        <f>MAX('Q2 Data'!$G$5*('Q2 (i)'!G16-$B$2),0)</f>
        <v>2260000000</v>
      </c>
      <c r="H16" s="48"/>
      <c r="I16" s="48">
        <f>MAX('Q2 Data'!$G$5*('Q2 (i)'!I16-$B$2),0)</f>
        <v>2720800000</v>
      </c>
      <c r="M16" s="45"/>
      <c r="N16" s="45"/>
      <c r="O16" s="45">
        <f>(O$25*(G16+P15)+(1-O$25)*(G16+P17))*EXP(-O$24)</f>
        <v>7031872280.5539751</v>
      </c>
      <c r="P16" s="45"/>
      <c r="Q16" s="45">
        <f>(Q$25*(I16+R15)+(1-Q$25)*(I16+R17))*EXP(-Q$24)</f>
        <v>2562352942.9760242</v>
      </c>
      <c r="R16" s="45"/>
    </row>
    <row r="17" spans="1:18">
      <c r="E17" s="48"/>
      <c r="F17" s="48">
        <f>MAX('Q2 Data'!$G$5*('Q2 (i)'!F17-$B$2),0)</f>
        <v>1300000000</v>
      </c>
      <c r="G17" s="48"/>
      <c r="H17" s="48">
        <f>MAX('Q2 Data'!$G$5*('Q2 (i)'!H17-$B$2),0)</f>
        <v>1684000000</v>
      </c>
      <c r="I17" s="48"/>
      <c r="M17" s="45"/>
      <c r="N17" s="45">
        <f>(N$25*(F17+O16)+(1-N$25)*(F17+O18))*EXP(-N$24)</f>
        <v>6316175520.5641174</v>
      </c>
      <c r="O17" s="45"/>
      <c r="P17" s="45">
        <f>(P$25*(H17+Q16)+(1-P$25)*(H17+Q18))*EXP(-P$24)</f>
        <v>3378924526.6003981</v>
      </c>
      <c r="Q17" s="45"/>
      <c r="R17" s="45">
        <v>0</v>
      </c>
    </row>
    <row r="18" spans="1:18">
      <c r="E18" s="48">
        <f>MAX('Q2 Data'!G5*('Q2 (i)'!E18-$B$2),0)</f>
        <v>500000000</v>
      </c>
      <c r="F18" s="48"/>
      <c r="G18" s="48">
        <f>MAX('Q2 Data'!$G$5*('Q2 (i)'!G18-$B$2),0)</f>
        <v>820000000</v>
      </c>
      <c r="H18" s="48"/>
      <c r="I18" s="48">
        <f>MAX('Q2 Data'!$G$5*('Q2 (i)'!I18-$B$2),0)</f>
        <v>1165600000</v>
      </c>
      <c r="M18" s="45">
        <f>(M$25*(E18+N17)+(1-M$25)*(E18+N19))*EXP(-M$24)</f>
        <v>4944792455.7483282</v>
      </c>
      <c r="N18" s="45"/>
      <c r="O18" s="45">
        <f>(O$25*(G18+P17)+(1-O$25)*(G18+P19))*EXP(-O$24)</f>
        <v>3003903925.6042075</v>
      </c>
      <c r="P18" s="45"/>
      <c r="Q18" s="45">
        <f>(Q$25*(I18+R17)+(1-Q$25)*(I18+R19))*EXP(-Q$24)</f>
        <v>1097720740.3458004</v>
      </c>
      <c r="R18" s="45"/>
    </row>
    <row r="19" spans="1:18">
      <c r="E19" s="48"/>
      <c r="F19" s="48">
        <f>MAX('Q2 Data'!$G$5*('Q2 (i)'!F19-$B$2),0)</f>
        <v>100000000</v>
      </c>
      <c r="G19" s="48"/>
      <c r="H19" s="48">
        <f>MAX('Q2 Data'!$G$5*('Q2 (i)'!H19-$B$2),0)</f>
        <v>388000000</v>
      </c>
      <c r="I19" s="48"/>
      <c r="M19" s="45"/>
      <c r="N19" s="45">
        <f>(N$25*(F19+O18)+(1-N$25)*(F19+O20))*EXP(-N$24)</f>
        <v>2041111346.8040121</v>
      </c>
      <c r="O19" s="45"/>
      <c r="P19" s="45">
        <f>(P$25*(H19+Q18)+(1-P$25)*(H19+Q20))*EXP(-P$24)</f>
        <v>950313833.76649046</v>
      </c>
      <c r="Q19" s="45"/>
      <c r="R19" s="45">
        <v>0</v>
      </c>
    </row>
    <row r="20" spans="1:18">
      <c r="E20" s="48"/>
      <c r="F20" s="48"/>
      <c r="G20" s="48">
        <v>0</v>
      </c>
      <c r="H20" s="48"/>
      <c r="I20" s="48">
        <v>0</v>
      </c>
      <c r="M20" s="45"/>
      <c r="N20" s="45"/>
      <c r="O20" s="45">
        <f>(O$25*(G20+P19)+(1-O$25)*(G20+P21))*EXP(-O$24)</f>
        <v>535962076.78003687</v>
      </c>
      <c r="P20" s="45"/>
      <c r="Q20" s="45">
        <f>(Q$25*(I20+R19)+(1-Q$25)*(I20+R21))*EXP(-Q$24)</f>
        <v>0</v>
      </c>
      <c r="R20" s="45"/>
    </row>
    <row r="21" spans="1:18">
      <c r="E21" s="48"/>
      <c r="F21" s="48"/>
      <c r="G21" s="48"/>
      <c r="H21" s="48">
        <v>0</v>
      </c>
      <c r="I21" s="48"/>
      <c r="M21" s="45"/>
      <c r="N21" s="45"/>
      <c r="O21" s="45"/>
      <c r="P21" s="45">
        <f>(P$25*(H21+Q20)+(1-P$25)*(H21+Q22))*EXP(-P$24)</f>
        <v>0</v>
      </c>
      <c r="Q21" s="45"/>
      <c r="R21" s="45">
        <v>0</v>
      </c>
    </row>
    <row r="22" spans="1:18">
      <c r="E22" s="48"/>
      <c r="F22" s="48"/>
      <c r="G22" s="48"/>
      <c r="H22" s="48"/>
      <c r="I22" s="48">
        <v>0</v>
      </c>
      <c r="M22" s="45"/>
      <c r="N22" s="45"/>
      <c r="O22" s="45"/>
      <c r="P22" s="45"/>
      <c r="Q22" s="45">
        <f>(Q$25*(I22+R21)+(1-Q$25)*(I22+R23))*EXP(-Q$24)</f>
        <v>0</v>
      </c>
      <c r="R22" s="45"/>
    </row>
    <row r="23" spans="1:18">
      <c r="E23" s="48"/>
      <c r="F23" s="48"/>
      <c r="G23" s="48"/>
      <c r="H23" s="48"/>
      <c r="I23" s="48"/>
      <c r="M23" s="45"/>
      <c r="N23" s="45"/>
      <c r="O23" s="45"/>
      <c r="P23" s="45"/>
      <c r="Q23" s="45"/>
      <c r="R23" s="45">
        <v>0</v>
      </c>
    </row>
    <row r="24" spans="1:18">
      <c r="E24" s="48"/>
      <c r="F24" s="48"/>
      <c r="G24" s="48"/>
      <c r="H24" s="48"/>
      <c r="I24" s="48"/>
      <c r="L24" t="s">
        <v>93</v>
      </c>
      <c r="M24" s="89">
        <v>0.1</v>
      </c>
      <c r="N24" s="89">
        <v>0.09</v>
      </c>
      <c r="O24" s="89">
        <v>0.08</v>
      </c>
      <c r="P24" s="89">
        <v>7.0000000000000007E-2</v>
      </c>
      <c r="Q24" s="89">
        <v>0.06</v>
      </c>
      <c r="R24" s="90"/>
    </row>
    <row r="25" spans="1:18">
      <c r="E25" s="48"/>
      <c r="F25" s="48"/>
      <c r="G25" s="48"/>
      <c r="H25" s="48"/>
      <c r="I25" s="48"/>
      <c r="L25" t="s">
        <v>110</v>
      </c>
      <c r="M25" s="90">
        <f>(EXP(M24)-$B$5)/($B$4-$B$5)</f>
        <v>0.68390306025215908</v>
      </c>
      <c r="N25" s="90">
        <f>(EXP(N24)-$B$5)/($B$4-$B$5)</f>
        <v>0.6472476123507015</v>
      </c>
      <c r="O25" s="90">
        <f>(EXP(O24)-$B$5)/($B$4-$B$5)</f>
        <v>0.61095689224986216</v>
      </c>
      <c r="P25" s="90">
        <f>(EXP(P24)-$B$5)/($B$4-$B$5)</f>
        <v>0.57502727084738847</v>
      </c>
      <c r="Q25" s="90">
        <f>(EXP(Q24)-$B$5)/($B$4-$B$5)</f>
        <v>0.5394551551511988</v>
      </c>
      <c r="R25" s="90"/>
    </row>
    <row r="26" spans="1:18">
      <c r="E26" s="48"/>
      <c r="F26" s="48"/>
      <c r="G26" s="48"/>
      <c r="H26" s="48"/>
      <c r="I26" s="48"/>
      <c r="M26" s="90"/>
      <c r="N26" s="90"/>
      <c r="O26" s="90"/>
      <c r="P26" s="90"/>
      <c r="Q26" s="90"/>
      <c r="R26" s="90"/>
    </row>
    <row r="28" spans="1:18">
      <c r="G28" t="s">
        <v>109</v>
      </c>
      <c r="N28" t="s">
        <v>128</v>
      </c>
      <c r="Q28" t="s">
        <v>130</v>
      </c>
    </row>
    <row r="29" spans="1:18">
      <c r="N29" t="s">
        <v>129</v>
      </c>
    </row>
    <row r="30" spans="1:18">
      <c r="M30" s="49"/>
    </row>
    <row r="32" spans="1:18">
      <c r="A32" s="50"/>
    </row>
    <row r="35" spans="8:10">
      <c r="H35" s="51"/>
      <c r="J35" s="52"/>
    </row>
  </sheetData>
  <mergeCells count="3">
    <mergeCell ref="G8:L8"/>
    <mergeCell ref="M9:N9"/>
    <mergeCell ref="P9:Q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topLeftCell="G1" zoomScale="85" zoomScaleNormal="85" workbookViewId="0">
      <selection activeCell="S5" sqref="S5"/>
    </sheetView>
  </sheetViews>
  <sheetFormatPr defaultRowHeight="15"/>
  <cols>
    <col min="4" max="4" width="29.42578125" customWidth="1"/>
    <col min="12" max="12" width="29.140625" customWidth="1"/>
    <col min="14" max="14" width="39.42578125" customWidth="1"/>
    <col min="18" max="18" width="16.85546875" customWidth="1"/>
  </cols>
  <sheetData>
    <row r="1" spans="2:20" ht="26.25">
      <c r="K1" s="53" t="s">
        <v>34</v>
      </c>
    </row>
    <row r="2" spans="2:20" ht="26.25">
      <c r="D2" s="53" t="s">
        <v>34</v>
      </c>
      <c r="K2" s="53"/>
    </row>
    <row r="3" spans="2:20" ht="26.25">
      <c r="B3" t="s">
        <v>35</v>
      </c>
      <c r="D3" s="53"/>
      <c r="K3" s="53" t="s">
        <v>36</v>
      </c>
      <c r="M3" s="54" t="s">
        <v>37</v>
      </c>
      <c r="N3" s="55" t="s">
        <v>38</v>
      </c>
      <c r="R3" t="s">
        <v>39</v>
      </c>
    </row>
    <row r="4" spans="2:20" ht="26.25">
      <c r="B4">
        <v>1</v>
      </c>
      <c r="D4" s="53" t="s">
        <v>40</v>
      </c>
      <c r="M4" s="14">
        <v>1</v>
      </c>
      <c r="N4" s="56">
        <v>0.76348850335070573</v>
      </c>
    </row>
    <row r="5" spans="2:20" ht="15.75" thickBot="1">
      <c r="M5" s="14">
        <f>M4+1</f>
        <v>2</v>
      </c>
      <c r="N5" s="56">
        <v>0.88571467223607903</v>
      </c>
      <c r="R5" s="57" t="s">
        <v>41</v>
      </c>
      <c r="S5">
        <v>0.08</v>
      </c>
    </row>
    <row r="6" spans="2:20" ht="15.75" thickBot="1">
      <c r="C6" s="58" t="s">
        <v>3</v>
      </c>
      <c r="D6" s="59" t="s">
        <v>42</v>
      </c>
      <c r="M6" s="14">
        <f t="shared" ref="M6:M13" si="0">M5+1</f>
        <v>3</v>
      </c>
      <c r="N6" s="56">
        <v>5.4454164087665569E-2</v>
      </c>
      <c r="R6" s="57" t="s">
        <v>43</v>
      </c>
      <c r="S6">
        <v>0.15</v>
      </c>
    </row>
    <row r="7" spans="2:20" ht="15.75" thickBot="1">
      <c r="C7" s="58"/>
      <c r="D7" s="59"/>
      <c r="M7" s="14">
        <f t="shared" si="0"/>
        <v>4</v>
      </c>
      <c r="N7" s="56">
        <v>0.18935907330710411</v>
      </c>
      <c r="R7" s="60" t="s">
        <v>44</v>
      </c>
      <c r="S7">
        <v>0.04</v>
      </c>
      <c r="T7" t="s">
        <v>45</v>
      </c>
    </row>
    <row r="8" spans="2:20" ht="15.75" thickBot="1">
      <c r="C8" s="61">
        <f>C7+1</f>
        <v>1</v>
      </c>
      <c r="D8" s="59">
        <v>4</v>
      </c>
      <c r="M8" s="14">
        <f t="shared" si="0"/>
        <v>5</v>
      </c>
      <c r="N8" s="56">
        <v>0.61058734198173359</v>
      </c>
    </row>
    <row r="9" spans="2:20" ht="15.75" thickBot="1">
      <c r="C9" s="61">
        <f t="shared" ref="C9:C17" si="1">C8+1</f>
        <v>2</v>
      </c>
      <c r="D9" s="62">
        <v>4.5</v>
      </c>
      <c r="M9" s="14">
        <f t="shared" si="0"/>
        <v>6</v>
      </c>
      <c r="N9" s="56">
        <v>0.63518023667433243</v>
      </c>
    </row>
    <row r="10" spans="2:20" ht="15.75" thickBot="1">
      <c r="C10" s="61">
        <f t="shared" si="1"/>
        <v>3</v>
      </c>
      <c r="D10" s="62">
        <v>5</v>
      </c>
      <c r="M10" s="14">
        <f t="shared" si="0"/>
        <v>7</v>
      </c>
      <c r="N10" s="56">
        <v>0.58027121662153469</v>
      </c>
    </row>
    <row r="11" spans="2:20" ht="15.75" thickBot="1">
      <c r="C11" s="61">
        <f t="shared" si="1"/>
        <v>4</v>
      </c>
      <c r="D11" s="62">
        <v>5.5</v>
      </c>
      <c r="M11" s="14">
        <f t="shared" si="0"/>
        <v>8</v>
      </c>
      <c r="N11" s="56">
        <v>9.2829439665485403E-2</v>
      </c>
    </row>
    <row r="12" spans="2:20" ht="15.75" thickBot="1">
      <c r="C12" s="61">
        <f t="shared" si="1"/>
        <v>5</v>
      </c>
      <c r="D12" s="62">
        <v>6</v>
      </c>
      <c r="M12" s="14">
        <f t="shared" si="0"/>
        <v>9</v>
      </c>
      <c r="N12" s="56">
        <v>0.58511948946990877</v>
      </c>
    </row>
    <row r="13" spans="2:20" ht="15.75" thickBot="1">
      <c r="C13" s="61">
        <f t="shared" si="1"/>
        <v>6</v>
      </c>
      <c r="D13" s="62">
        <v>6.5</v>
      </c>
      <c r="M13" s="14">
        <f t="shared" si="0"/>
        <v>10</v>
      </c>
      <c r="N13" s="56">
        <v>0.20818459503106124</v>
      </c>
    </row>
    <row r="14" spans="2:20" ht="15.75" thickBot="1">
      <c r="C14" s="61">
        <f t="shared" si="1"/>
        <v>7</v>
      </c>
      <c r="D14" s="62">
        <v>7</v>
      </c>
      <c r="M14" s="35"/>
      <c r="N14" s="63"/>
    </row>
    <row r="15" spans="2:20" ht="15.75" thickBot="1">
      <c r="C15" s="61">
        <f t="shared" si="1"/>
        <v>8</v>
      </c>
      <c r="D15" s="62">
        <v>6.5</v>
      </c>
      <c r="M15" s="35"/>
      <c r="N15" s="35"/>
    </row>
    <row r="16" spans="2:20" ht="15.75" thickBot="1">
      <c r="C16" s="61">
        <f t="shared" si="1"/>
        <v>9</v>
      </c>
      <c r="D16" s="62">
        <v>6.5</v>
      </c>
      <c r="M16" s="35"/>
      <c r="N16" s="35"/>
    </row>
    <row r="17" spans="3:14" ht="15.75" thickBot="1">
      <c r="C17" s="61">
        <f t="shared" si="1"/>
        <v>10</v>
      </c>
      <c r="D17" s="62">
        <v>6</v>
      </c>
      <c r="M17" s="35"/>
      <c r="N17" s="35"/>
    </row>
    <row r="18" spans="3:14">
      <c r="C18" s="64"/>
      <c r="M18" s="35"/>
      <c r="N18" s="35"/>
    </row>
    <row r="19" spans="3:14">
      <c r="M19" s="35"/>
      <c r="N19" s="35"/>
    </row>
    <row r="20" spans="3:14">
      <c r="M20" s="35"/>
      <c r="N20" s="35"/>
    </row>
    <row r="21" spans="3:14">
      <c r="M21" s="35"/>
      <c r="N21" s="35"/>
    </row>
    <row r="22" spans="3:14">
      <c r="M22" s="35"/>
      <c r="N22" s="35"/>
    </row>
    <row r="23" spans="3:14">
      <c r="M23" s="35"/>
      <c r="N23" s="35"/>
    </row>
    <row r="24" spans="3:14">
      <c r="M24" s="35"/>
      <c r="N24" s="35"/>
    </row>
    <row r="25" spans="3:14">
      <c r="M25" s="35"/>
      <c r="N25" s="35"/>
    </row>
    <row r="26" spans="3:14">
      <c r="M26" s="35"/>
      <c r="N26" s="35"/>
    </row>
    <row r="27" spans="3:14">
      <c r="M27" s="35"/>
      <c r="N27" s="35"/>
    </row>
    <row r="28" spans="3:14">
      <c r="M28" s="35"/>
      <c r="N28" s="35"/>
    </row>
    <row r="29" spans="3:14">
      <c r="M29" s="35"/>
      <c r="N29" s="35"/>
    </row>
    <row r="30" spans="3:14">
      <c r="M30" s="35"/>
      <c r="N30" s="3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J39"/>
  <sheetViews>
    <sheetView topLeftCell="D1" zoomScale="115" zoomScaleNormal="115" workbookViewId="0">
      <selection activeCell="G4" sqref="G4"/>
    </sheetView>
  </sheetViews>
  <sheetFormatPr defaultRowHeight="15"/>
  <cols>
    <col min="5" max="5" width="14.42578125" customWidth="1"/>
    <col min="6" max="6" width="36.42578125" customWidth="1"/>
    <col min="7" max="7" width="45.5703125" customWidth="1"/>
    <col min="8" max="8" width="31.42578125" customWidth="1"/>
    <col min="9" max="9" width="14.5703125" bestFit="1" customWidth="1"/>
  </cols>
  <sheetData>
    <row r="4" spans="4:9" ht="30">
      <c r="D4" s="14"/>
      <c r="E4" s="14"/>
      <c r="F4" s="14"/>
      <c r="G4" s="65" t="s">
        <v>46</v>
      </c>
      <c r="H4" s="14"/>
    </row>
    <row r="5" spans="4:9">
      <c r="D5" s="14" t="s">
        <v>47</v>
      </c>
      <c r="E5" s="14" t="s">
        <v>48</v>
      </c>
      <c r="F5" s="14" t="s">
        <v>49</v>
      </c>
      <c r="G5" s="66" t="s">
        <v>72</v>
      </c>
      <c r="H5" s="14" t="s">
        <v>73</v>
      </c>
    </row>
    <row r="6" spans="4:9">
      <c r="D6" s="14">
        <v>0</v>
      </c>
      <c r="E6" s="67"/>
      <c r="F6" s="68">
        <f>E7</f>
        <v>0.04</v>
      </c>
      <c r="G6" s="91">
        <f>F6+1</f>
        <v>1.04</v>
      </c>
      <c r="H6" s="69">
        <f>1/PRODUCT(G6:$G$15)*100</f>
        <v>55.839477691511789</v>
      </c>
    </row>
    <row r="7" spans="4:9">
      <c r="D7" s="14">
        <v>1</v>
      </c>
      <c r="E7" s="67">
        <v>0.04</v>
      </c>
      <c r="F7" s="68">
        <f>(1+E8)^D8/(1+E7)^D7-1</f>
        <v>5.0024038461538245E-2</v>
      </c>
      <c r="G7" s="92">
        <f>F7+1</f>
        <v>1.0500240384615382</v>
      </c>
      <c r="H7" s="69">
        <f>1/PRODUCT(G7:$G$15)*100</f>
        <v>58.073056799172264</v>
      </c>
    </row>
    <row r="8" spans="4:9">
      <c r="D8" s="14">
        <v>2</v>
      </c>
      <c r="E8" s="67">
        <v>4.4999999999999998E-2</v>
      </c>
      <c r="F8" s="68">
        <f t="shared" ref="F8:F15" si="0">(1+E9)^D9/(1+E8)^D8-1</f>
        <v>6.0071884801172537E-2</v>
      </c>
      <c r="G8" s="92">
        <f t="shared" ref="G8:G15" si="1">F8+1</f>
        <v>1.0600718848011725</v>
      </c>
      <c r="H8" s="69">
        <f>1/PRODUCT(G8:$G$15)*100</f>
        <v>60.978105626073145</v>
      </c>
    </row>
    <row r="9" spans="4:9">
      <c r="D9" s="14">
        <v>3</v>
      </c>
      <c r="E9" s="67">
        <v>0.05</v>
      </c>
      <c r="F9" s="68">
        <f t="shared" si="0"/>
        <v>7.0143311197494507E-2</v>
      </c>
      <c r="G9" s="92">
        <f t="shared" si="1"/>
        <v>1.0701433111974945</v>
      </c>
      <c r="H9" s="69">
        <f>1/PRODUCT(G9:$G$15)*100</f>
        <v>64.641175362636346</v>
      </c>
    </row>
    <row r="10" spans="4:9">
      <c r="D10" s="14">
        <v>4</v>
      </c>
      <c r="E10" s="67">
        <v>5.5E-2</v>
      </c>
      <c r="F10" s="68">
        <f t="shared" si="0"/>
        <v>8.0238092553980067E-2</v>
      </c>
      <c r="G10" s="92">
        <f t="shared" si="1"/>
        <v>1.0802380925539801</v>
      </c>
      <c r="H10" s="69">
        <f>1/PRODUCT(G10:$G$15)*100</f>
        <v>69.175321442269549</v>
      </c>
    </row>
    <row r="11" spans="4:9">
      <c r="D11" s="14">
        <v>5</v>
      </c>
      <c r="E11" s="67">
        <v>0.06</v>
      </c>
      <c r="F11" s="68">
        <f t="shared" si="0"/>
        <v>9.0356006462299021E-2</v>
      </c>
      <c r="G11" s="92">
        <f t="shared" si="1"/>
        <v>1.090356006462299</v>
      </c>
      <c r="H11" s="69">
        <f>1/PRODUCT(G11:$G$15)*100</f>
        <v>74.725817286605704</v>
      </c>
    </row>
    <row r="12" spans="4:9">
      <c r="D12" s="14">
        <v>6</v>
      </c>
      <c r="E12" s="67">
        <v>6.5000000000000002E-2</v>
      </c>
      <c r="F12" s="68">
        <f t="shared" si="0"/>
        <v>0.10049683316613223</v>
      </c>
      <c r="G12" s="92">
        <f t="shared" si="1"/>
        <v>1.1004968331661322</v>
      </c>
      <c r="H12" s="69">
        <f>1/PRODUCT(G12:$G$15)*100</f>
        <v>81.477743716254807</v>
      </c>
    </row>
    <row r="13" spans="4:9">
      <c r="D13" s="14">
        <v>7</v>
      </c>
      <c r="E13" s="67">
        <v>7.0000000000000007E-2</v>
      </c>
      <c r="F13" s="68">
        <f t="shared" si="0"/>
        <v>3.0648127116214896E-2</v>
      </c>
      <c r="G13" s="92">
        <f t="shared" si="1"/>
        <v>1.0306481271162149</v>
      </c>
      <c r="H13" s="69">
        <f>1/PRODUCT(G13:$G$15)*100</f>
        <v>89.66599893326017</v>
      </c>
    </row>
    <row r="14" spans="4:9">
      <c r="D14" s="14">
        <v>8</v>
      </c>
      <c r="E14" s="67">
        <v>6.5000000000000002E-2</v>
      </c>
      <c r="F14" s="68">
        <f t="shared" si="0"/>
        <v>6.4999999999999947E-2</v>
      </c>
      <c r="G14" s="92">
        <f t="shared" si="1"/>
        <v>1.0649999999999999</v>
      </c>
      <c r="H14" s="69">
        <f>1/PRODUCT(G14:$G$15)*100</f>
        <v>92.414093866569118</v>
      </c>
    </row>
    <row r="15" spans="4:9">
      <c r="D15" s="14">
        <v>9</v>
      </c>
      <c r="E15" s="67">
        <v>6.5000000000000002E-2</v>
      </c>
      <c r="F15" s="68">
        <f t="shared" si="0"/>
        <v>1.6043221184368628E-2</v>
      </c>
      <c r="G15" s="92">
        <f t="shared" si="1"/>
        <v>1.0160432211843686</v>
      </c>
      <c r="H15" s="69">
        <f>1/PRODUCT(G15:$G$15)*100</f>
        <v>98.421009967896083</v>
      </c>
    </row>
    <row r="16" spans="4:9">
      <c r="D16" s="14">
        <v>10</v>
      </c>
      <c r="E16" s="67">
        <v>0.06</v>
      </c>
      <c r="F16" s="70"/>
      <c r="G16" s="66"/>
      <c r="H16" s="66"/>
      <c r="I16" s="71"/>
    </row>
    <row r="18" spans="6:10">
      <c r="F18">
        <v>2.5</v>
      </c>
      <c r="G18">
        <v>2.5</v>
      </c>
      <c r="H18">
        <v>2.5</v>
      </c>
    </row>
    <row r="23" spans="6:10">
      <c r="I23" t="s">
        <v>74</v>
      </c>
      <c r="J23" s="72">
        <v>10</v>
      </c>
    </row>
    <row r="37" spans="6:6">
      <c r="F37" t="s">
        <v>75</v>
      </c>
    </row>
    <row r="38" spans="6:6">
      <c r="F38" t="s">
        <v>76</v>
      </c>
    </row>
    <row r="39" spans="6:6">
      <c r="F39" t="s">
        <v>77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Q1 Data</vt:lpstr>
      <vt:lpstr>Q1 (i) and (ii)</vt:lpstr>
      <vt:lpstr>Q1 (iii)</vt:lpstr>
      <vt:lpstr>Q2 Data</vt:lpstr>
      <vt:lpstr>Q2 (i)</vt:lpstr>
      <vt:lpstr>Q2 (ii)</vt:lpstr>
      <vt:lpstr>Q2 (iii)</vt:lpstr>
      <vt:lpstr> Q3 Data </vt:lpstr>
      <vt:lpstr>Q3 (i)</vt:lpstr>
      <vt:lpstr>Q3 (ii)</vt:lpstr>
      <vt:lpstr>alpha</vt:lpstr>
      <vt:lpstr>mu</vt:lpstr>
      <vt:lpstr>sigma</vt:lpstr>
    </vt:vector>
  </TitlesOfParts>
  <Company>Standard Life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Williamson</dc:creator>
  <cp:lastModifiedBy>Jyoti Dubey</cp:lastModifiedBy>
  <cp:lastPrinted>2019-04-25T06:07:35Z</cp:lastPrinted>
  <dcterms:created xsi:type="dcterms:W3CDTF">2018-07-27T13:23:02Z</dcterms:created>
  <dcterms:modified xsi:type="dcterms:W3CDTF">2021-11-18T11:31:22Z</dcterms:modified>
</cp:coreProperties>
</file>