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yoti\Desktop\Sep 21 Result\solution\New folder\"/>
    </mc:Choice>
  </mc:AlternateContent>
  <bookViews>
    <workbookView xWindow="-105" yWindow="-105" windowWidth="19425" windowHeight="10425" tabRatio="986"/>
  </bookViews>
  <sheets>
    <sheet name="Q1 (i)" sheetId="12" r:id="rId1"/>
    <sheet name="Q1 (ii)" sheetId="1" r:id="rId2"/>
    <sheet name="Q1 (iii)" sheetId="2" r:id="rId3"/>
    <sheet name="Q1 (iv)" sheetId="13" r:id="rId4"/>
    <sheet name="Q1 (v)" sheetId="3" r:id="rId5"/>
    <sheet name="Q2 - Data" sheetId="4" r:id="rId6"/>
    <sheet name="Q2 (i)" sheetId="5" r:id="rId7"/>
    <sheet name="Q2 (ii)" sheetId="16" r:id="rId8"/>
    <sheet name="Q2 (iii)" sheetId="14" r:id="rId9"/>
    <sheet name="Q2 (iv)" sheetId="6" r:id="rId10"/>
    <sheet name="Q2 (v)" sheetId="7" r:id="rId11"/>
    <sheet name="Q2 (vi)" sheetId="17" r:id="rId12"/>
    <sheet name="Q3(i)" sheetId="8" r:id="rId13"/>
    <sheet name="Q3 (ii)" sheetId="9" r:id="rId14"/>
    <sheet name="Q3(iii)" sheetId="10" r:id="rId15"/>
    <sheet name="Q3(iv)" sheetId="11" r:id="rId16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2" l="1"/>
  <c r="R3" i="2"/>
  <c r="P7" i="1"/>
  <c r="P3" i="1"/>
  <c r="E4" i="9" l="1"/>
  <c r="D4" i="9"/>
  <c r="E3" i="9"/>
  <c r="D3" i="9"/>
  <c r="B11" i="8"/>
  <c r="B10" i="8" s="1"/>
  <c r="B9" i="8" s="1"/>
  <c r="B8" i="8" s="1"/>
  <c r="B7" i="8" s="1"/>
  <c r="B6" i="8" s="1"/>
  <c r="B5" i="8" s="1"/>
  <c r="B4" i="8" s="1"/>
  <c r="B3" i="8" s="1"/>
  <c r="B12" i="8"/>
  <c r="I4" i="10" l="1"/>
  <c r="L3" i="10"/>
  <c r="I6" i="8"/>
  <c r="I7" i="8" s="1"/>
  <c r="I8" i="8" s="1"/>
  <c r="I9" i="8" s="1"/>
  <c r="I10" i="8" s="1"/>
  <c r="I11" i="8" s="1"/>
  <c r="I12" i="8" s="1"/>
  <c r="I13" i="8" s="1"/>
  <c r="I5" i="8"/>
  <c r="I4" i="8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V10" i="16"/>
  <c r="V9" i="16"/>
  <c r="V8" i="16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AF18" i="17" l="1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AB27" i="17"/>
  <c r="L27" i="17"/>
  <c r="J27" i="17"/>
  <c r="L26" i="17"/>
  <c r="J26" i="17"/>
  <c r="G26" i="17"/>
  <c r="L25" i="17"/>
  <c r="G25" i="17"/>
  <c r="J25" i="17" s="1"/>
  <c r="L24" i="17"/>
  <c r="G24" i="17"/>
  <c r="J24" i="17" s="1"/>
  <c r="L23" i="17"/>
  <c r="J23" i="17"/>
  <c r="G23" i="17"/>
  <c r="L22" i="17"/>
  <c r="G22" i="17"/>
  <c r="J22" i="17" s="1"/>
  <c r="L21" i="17"/>
  <c r="G21" i="17"/>
  <c r="J21" i="17" s="1"/>
  <c r="L20" i="17"/>
  <c r="G20" i="17"/>
  <c r="J20" i="17" s="1"/>
  <c r="L19" i="17"/>
  <c r="G19" i="17"/>
  <c r="J19" i="17" s="1"/>
  <c r="L18" i="17"/>
  <c r="G18" i="17"/>
  <c r="L17" i="17"/>
  <c r="G17" i="17"/>
  <c r="J17" i="17" s="1"/>
  <c r="L16" i="17"/>
  <c r="J16" i="17"/>
  <c r="G16" i="17"/>
  <c r="L15" i="17"/>
  <c r="G15" i="17"/>
  <c r="J15" i="17" s="1"/>
  <c r="L14" i="17"/>
  <c r="G14" i="17"/>
  <c r="J14" i="17" s="1"/>
  <c r="L13" i="17"/>
  <c r="J13" i="17"/>
  <c r="G13" i="17"/>
  <c r="L12" i="17"/>
  <c r="G12" i="17"/>
  <c r="J12" i="17" s="1"/>
  <c r="A12" i="17"/>
  <c r="H12" i="17" s="1"/>
  <c r="L11" i="17"/>
  <c r="G11" i="17"/>
  <c r="J11" i="17" s="1"/>
  <c r="A11" i="17"/>
  <c r="L10" i="17"/>
  <c r="H10" i="17"/>
  <c r="G10" i="17"/>
  <c r="J10" i="17" s="1"/>
  <c r="A10" i="17"/>
  <c r="I10" i="17" s="1"/>
  <c r="L9" i="17"/>
  <c r="H9" i="17"/>
  <c r="G9" i="17"/>
  <c r="F9" i="17"/>
  <c r="A9" i="17"/>
  <c r="I9" i="17" s="1"/>
  <c r="L8" i="17"/>
  <c r="J8" i="17"/>
  <c r="I8" i="17"/>
  <c r="H8" i="17"/>
  <c r="G8" i="17"/>
  <c r="F8" i="17"/>
  <c r="R7" i="17"/>
  <c r="Q7" i="17"/>
  <c r="N7" i="17"/>
  <c r="L7" i="17"/>
  <c r="G7" i="17"/>
  <c r="J7" i="17" s="1"/>
  <c r="X7" i="17" s="1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AF4" i="17"/>
  <c r="J9" i="17" l="1"/>
  <c r="I12" i="17"/>
  <c r="J18" i="17"/>
  <c r="O7" i="17"/>
  <c r="T8" i="17"/>
  <c r="F10" i="17"/>
  <c r="H11" i="17"/>
  <c r="I11" i="17"/>
  <c r="S7" i="17"/>
  <c r="A13" i="17"/>
  <c r="H13" i="17" l="1"/>
  <c r="I13" i="17"/>
  <c r="A14" i="17"/>
  <c r="F11" i="17"/>
  <c r="U7" i="17"/>
  <c r="AA7" i="17" s="1"/>
  <c r="M8" i="17"/>
  <c r="W7" i="17"/>
  <c r="Q8" i="17" l="1"/>
  <c r="X8" i="17"/>
  <c r="N8" i="17"/>
  <c r="S8" i="17"/>
  <c r="R8" i="17"/>
  <c r="I14" i="17"/>
  <c r="A15" i="17"/>
  <c r="H14" i="17"/>
  <c r="F12" i="17"/>
  <c r="F13" i="17" l="1"/>
  <c r="T9" i="17"/>
  <c r="O8" i="17"/>
  <c r="H15" i="17"/>
  <c r="A16" i="17"/>
  <c r="I15" i="17"/>
  <c r="I16" i="17" l="1"/>
  <c r="A17" i="17"/>
  <c r="H16" i="17"/>
  <c r="F14" i="17"/>
  <c r="W8" i="17"/>
  <c r="U8" i="17"/>
  <c r="AA8" i="17" s="1"/>
  <c r="M9" i="17"/>
  <c r="Q9" i="17" l="1"/>
  <c r="N9" i="17"/>
  <c r="S9" i="17"/>
  <c r="R9" i="17"/>
  <c r="X9" i="17"/>
  <c r="F15" i="17"/>
  <c r="I17" i="17"/>
  <c r="H17" i="17"/>
  <c r="A18" i="17"/>
  <c r="F16" i="17" l="1"/>
  <c r="I18" i="17"/>
  <c r="H18" i="17"/>
  <c r="A19" i="17"/>
  <c r="T10" i="17"/>
  <c r="O9" i="17"/>
  <c r="W9" i="17" l="1"/>
  <c r="U9" i="17"/>
  <c r="AA9" i="17" s="1"/>
  <c r="M10" i="17"/>
  <c r="F17" i="17"/>
  <c r="H19" i="17"/>
  <c r="A20" i="17"/>
  <c r="I19" i="17"/>
  <c r="F18" i="17" l="1"/>
  <c r="Q10" i="17"/>
  <c r="N10" i="17"/>
  <c r="X10" i="17"/>
  <c r="S10" i="17"/>
  <c r="R10" i="17"/>
  <c r="A21" i="17"/>
  <c r="I20" i="17"/>
  <c r="H20" i="17"/>
  <c r="T11" i="17" l="1"/>
  <c r="O10" i="17"/>
  <c r="I21" i="17"/>
  <c r="H21" i="17"/>
  <c r="A22" i="17"/>
  <c r="F19" i="17"/>
  <c r="F20" i="17" l="1"/>
  <c r="I22" i="17"/>
  <c r="H22" i="17"/>
  <c r="A23" i="17"/>
  <c r="U10" i="17"/>
  <c r="AA10" i="17" s="1"/>
  <c r="M11" i="17"/>
  <c r="W10" i="17"/>
  <c r="N11" i="17" l="1"/>
  <c r="Q11" i="17"/>
  <c r="O11" i="17"/>
  <c r="X11" i="17"/>
  <c r="S11" i="17"/>
  <c r="R11" i="17"/>
  <c r="H23" i="17"/>
  <c r="A24" i="17"/>
  <c r="I23" i="17"/>
  <c r="F21" i="17"/>
  <c r="W11" i="17" l="1"/>
  <c r="U11" i="17"/>
  <c r="AA11" i="17" s="1"/>
  <c r="M12" i="17"/>
  <c r="T12" i="17"/>
  <c r="F22" i="17"/>
  <c r="I24" i="17"/>
  <c r="H24" i="17"/>
  <c r="A25" i="17"/>
  <c r="Q12" i="17" l="1"/>
  <c r="N12" i="17"/>
  <c r="S12" i="17"/>
  <c r="X12" i="17"/>
  <c r="R12" i="17"/>
  <c r="H25" i="17"/>
  <c r="I25" i="17"/>
  <c r="A26" i="17"/>
  <c r="F23" i="17"/>
  <c r="T13" i="17" l="1"/>
  <c r="F24" i="17"/>
  <c r="O12" i="17"/>
  <c r="I26" i="17"/>
  <c r="H26" i="17"/>
  <c r="A27" i="17"/>
  <c r="I27" i="17" l="1"/>
  <c r="H27" i="17"/>
  <c r="U12" i="17"/>
  <c r="AA12" i="17" s="1"/>
  <c r="M13" i="17"/>
  <c r="W12" i="17"/>
  <c r="F25" i="17"/>
  <c r="S13" i="17" l="1"/>
  <c r="Q13" i="17"/>
  <c r="N13" i="17"/>
  <c r="X13" i="17"/>
  <c r="R13" i="17"/>
  <c r="F26" i="17"/>
  <c r="T14" i="17" l="1"/>
  <c r="O13" i="17"/>
  <c r="U13" i="17" l="1"/>
  <c r="AA13" i="17" s="1"/>
  <c r="M14" i="17"/>
  <c r="W13" i="17"/>
  <c r="N14" i="17" l="1"/>
  <c r="O14" i="17" s="1"/>
  <c r="Q14" i="17"/>
  <c r="X14" i="17"/>
  <c r="S14" i="17"/>
  <c r="R14" i="17"/>
  <c r="W14" i="17" l="1"/>
  <c r="U14" i="17"/>
  <c r="AA14" i="17" s="1"/>
  <c r="M15" i="17"/>
  <c r="T15" i="17"/>
  <c r="L27" i="16"/>
  <c r="J27" i="16"/>
  <c r="C27" i="16"/>
  <c r="L26" i="16"/>
  <c r="G26" i="16"/>
  <c r="J26" i="16" s="1"/>
  <c r="C26" i="16"/>
  <c r="L25" i="16"/>
  <c r="G25" i="16"/>
  <c r="J25" i="16" s="1"/>
  <c r="C25" i="16"/>
  <c r="L24" i="16"/>
  <c r="G24" i="16"/>
  <c r="J24" i="16" s="1"/>
  <c r="C24" i="16"/>
  <c r="L23" i="16"/>
  <c r="G23" i="16"/>
  <c r="J23" i="16" s="1"/>
  <c r="C23" i="16"/>
  <c r="L22" i="16"/>
  <c r="G22" i="16"/>
  <c r="J22" i="16" s="1"/>
  <c r="C22" i="16"/>
  <c r="L21" i="16"/>
  <c r="G21" i="16"/>
  <c r="J21" i="16" s="1"/>
  <c r="C21" i="16"/>
  <c r="L20" i="16"/>
  <c r="G20" i="16"/>
  <c r="C20" i="16"/>
  <c r="L19" i="16"/>
  <c r="G19" i="16"/>
  <c r="J19" i="16" s="1"/>
  <c r="C19" i="16"/>
  <c r="L18" i="16"/>
  <c r="G18" i="16"/>
  <c r="J18" i="16" s="1"/>
  <c r="C18" i="16"/>
  <c r="L17" i="16"/>
  <c r="G17" i="16"/>
  <c r="J17" i="16" s="1"/>
  <c r="C17" i="16"/>
  <c r="L16" i="16"/>
  <c r="G16" i="16"/>
  <c r="J16" i="16" s="1"/>
  <c r="C16" i="16"/>
  <c r="L15" i="16"/>
  <c r="G15" i="16"/>
  <c r="J15" i="16" s="1"/>
  <c r="C15" i="16"/>
  <c r="L14" i="16"/>
  <c r="G14" i="16"/>
  <c r="J14" i="16" s="1"/>
  <c r="C14" i="16"/>
  <c r="L13" i="16"/>
  <c r="G13" i="16"/>
  <c r="J13" i="16" s="1"/>
  <c r="C13" i="16"/>
  <c r="L12" i="16"/>
  <c r="G12" i="16"/>
  <c r="J12" i="16" s="1"/>
  <c r="C12" i="16"/>
  <c r="L11" i="16"/>
  <c r="G11" i="16"/>
  <c r="J11" i="16" s="1"/>
  <c r="C11" i="16"/>
  <c r="L10" i="16"/>
  <c r="G10" i="16"/>
  <c r="J10" i="16" s="1"/>
  <c r="C10" i="16"/>
  <c r="L9" i="16"/>
  <c r="G9" i="16"/>
  <c r="J9" i="16" s="1"/>
  <c r="C9" i="16"/>
  <c r="A9" i="16"/>
  <c r="I9" i="16" s="1"/>
  <c r="L8" i="16"/>
  <c r="I8" i="16"/>
  <c r="H8" i="16"/>
  <c r="G8" i="16"/>
  <c r="F8" i="16"/>
  <c r="D8" i="16"/>
  <c r="C8" i="16"/>
  <c r="R7" i="16"/>
  <c r="Q7" i="16"/>
  <c r="AB4" i="16" s="1"/>
  <c r="L7" i="16"/>
  <c r="N7" i="16" s="1"/>
  <c r="G7" i="16"/>
  <c r="S7" i="16" s="1"/>
  <c r="B7" i="16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C12" i="7"/>
  <c r="C10" i="7"/>
  <c r="I3" i="8"/>
  <c r="A3" i="8"/>
  <c r="A10" i="8"/>
  <c r="A9" i="8"/>
  <c r="A8" i="8" s="1"/>
  <c r="A7" i="8" s="1"/>
  <c r="A6" i="8" s="1"/>
  <c r="A5" i="8" s="1"/>
  <c r="A4" i="8" s="1"/>
  <c r="A11" i="8"/>
  <c r="E4" i="8"/>
  <c r="C16" i="3"/>
  <c r="C15" i="3"/>
  <c r="C14" i="3"/>
  <c r="C13" i="3"/>
  <c r="C12" i="3"/>
  <c r="D12" i="3"/>
  <c r="E12" i="3" s="1"/>
  <c r="F12" i="3" s="1"/>
  <c r="F11" i="3"/>
  <c r="D5" i="3"/>
  <c r="D4" i="3"/>
  <c r="D3" i="3"/>
  <c r="R6" i="2"/>
  <c r="R5" i="2"/>
  <c r="R4" i="2"/>
  <c r="P6" i="1"/>
  <c r="P5" i="1"/>
  <c r="E16" i="1"/>
  <c r="D11" i="1"/>
  <c r="D16" i="1"/>
  <c r="D10" i="1"/>
  <c r="D9" i="1"/>
  <c r="E5" i="1"/>
  <c r="D5" i="1"/>
  <c r="E4" i="1"/>
  <c r="D4" i="1"/>
  <c r="E3" i="1"/>
  <c r="D3" i="1"/>
  <c r="E2" i="1"/>
  <c r="D2" i="1"/>
  <c r="D6" i="12"/>
  <c r="D5" i="12"/>
  <c r="D4" i="12"/>
  <c r="D3" i="12"/>
  <c r="Q15" i="17" l="1"/>
  <c r="N15" i="17"/>
  <c r="X15" i="17"/>
  <c r="S15" i="17"/>
  <c r="R15" i="17"/>
  <c r="J7" i="16"/>
  <c r="X7" i="16" s="1"/>
  <c r="AB7" i="17" s="1"/>
  <c r="T8" i="16"/>
  <c r="O7" i="16"/>
  <c r="J8" i="16"/>
  <c r="J20" i="16"/>
  <c r="D9" i="16"/>
  <c r="F9" i="16"/>
  <c r="H9" i="16"/>
  <c r="A10" i="16"/>
  <c r="J13" i="8"/>
  <c r="J12" i="8"/>
  <c r="J11" i="8"/>
  <c r="J10" i="8"/>
  <c r="J9" i="8"/>
  <c r="J8" i="8"/>
  <c r="J7" i="8"/>
  <c r="J6" i="8"/>
  <c r="J5" i="8"/>
  <c r="J4" i="8"/>
  <c r="T16" i="17" l="1"/>
  <c r="O15" i="17"/>
  <c r="F10" i="16"/>
  <c r="U7" i="16"/>
  <c r="M8" i="16"/>
  <c r="X8" i="16" s="1"/>
  <c r="W7" i="16"/>
  <c r="I10" i="16"/>
  <c r="A11" i="16"/>
  <c r="H10" i="16"/>
  <c r="D10" i="16"/>
  <c r="L4" i="11"/>
  <c r="L5" i="11" s="1"/>
  <c r="L6" i="11" s="1"/>
  <c r="L7" i="11" s="1"/>
  <c r="L8" i="11" s="1"/>
  <c r="L9" i="11" s="1"/>
  <c r="L10" i="11" s="1"/>
  <c r="L11" i="11" s="1"/>
  <c r="L12" i="11" s="1"/>
  <c r="L13" i="11" s="1"/>
  <c r="G3" i="11"/>
  <c r="G4" i="11" s="1"/>
  <c r="E4" i="11"/>
  <c r="E5" i="11" s="1"/>
  <c r="E6" i="11" s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B3" i="10"/>
  <c r="C3" i="10"/>
  <c r="D3" i="10"/>
  <c r="E3" i="10"/>
  <c r="F3" i="10"/>
  <c r="G3" i="10"/>
  <c r="H3" i="10"/>
  <c r="I3" i="10"/>
  <c r="B4" i="10"/>
  <c r="C4" i="10"/>
  <c r="D4" i="10"/>
  <c r="E4" i="10"/>
  <c r="F4" i="10"/>
  <c r="G4" i="10"/>
  <c r="H4" i="10"/>
  <c r="B5" i="10"/>
  <c r="C5" i="10"/>
  <c r="D5" i="10"/>
  <c r="E5" i="10"/>
  <c r="F5" i="10"/>
  <c r="G5" i="10"/>
  <c r="H5" i="10"/>
  <c r="B6" i="10"/>
  <c r="C6" i="10"/>
  <c r="D6" i="10"/>
  <c r="E6" i="10"/>
  <c r="F6" i="10"/>
  <c r="G6" i="10"/>
  <c r="H6" i="10"/>
  <c r="B7" i="10"/>
  <c r="C7" i="10"/>
  <c r="D7" i="10"/>
  <c r="E7" i="10"/>
  <c r="F7" i="10"/>
  <c r="G7" i="10"/>
  <c r="H7" i="10"/>
  <c r="B8" i="10"/>
  <c r="C8" i="10"/>
  <c r="D8" i="10"/>
  <c r="E8" i="10"/>
  <c r="F8" i="10"/>
  <c r="G8" i="10"/>
  <c r="H8" i="10"/>
  <c r="B9" i="10"/>
  <c r="C9" i="10"/>
  <c r="D9" i="10"/>
  <c r="E9" i="10"/>
  <c r="F9" i="10"/>
  <c r="G9" i="10"/>
  <c r="H9" i="10"/>
  <c r="B10" i="10"/>
  <c r="C10" i="10"/>
  <c r="D10" i="10"/>
  <c r="E10" i="10"/>
  <c r="F10" i="10"/>
  <c r="G10" i="10"/>
  <c r="H10" i="10"/>
  <c r="B11" i="10"/>
  <c r="C11" i="10"/>
  <c r="D11" i="10"/>
  <c r="E11" i="10"/>
  <c r="F11" i="10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F13" i="8"/>
  <c r="E13" i="8"/>
  <c r="F12" i="8"/>
  <c r="E12" i="8"/>
  <c r="G12" i="8" s="1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F4" i="8"/>
  <c r="C8" i="9" l="1"/>
  <c r="C9" i="9" s="1"/>
  <c r="D8" i="9"/>
  <c r="D9" i="9" s="1"/>
  <c r="J7" i="11" s="1"/>
  <c r="W15" i="17"/>
  <c r="U15" i="17"/>
  <c r="AA15" i="17" s="1"/>
  <c r="M16" i="17"/>
  <c r="D11" i="16"/>
  <c r="I11" i="16"/>
  <c r="H11" i="16"/>
  <c r="A12" i="16"/>
  <c r="N8" i="16"/>
  <c r="Q8" i="16"/>
  <c r="R8" i="16"/>
  <c r="S8" i="16"/>
  <c r="AB8" i="17" s="1"/>
  <c r="F11" i="16"/>
  <c r="G5" i="11"/>
  <c r="G6" i="11" s="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4" i="8"/>
  <c r="G8" i="8"/>
  <c r="G7" i="8"/>
  <c r="G11" i="8"/>
  <c r="G10" i="8"/>
  <c r="G5" i="8"/>
  <c r="G9" i="8"/>
  <c r="G6" i="8"/>
  <c r="G13" i="8"/>
  <c r="C9" i="7"/>
  <c r="C8" i="7"/>
  <c r="D4" i="6"/>
  <c r="E4" i="6" s="1"/>
  <c r="G4" i="6" s="1"/>
  <c r="H4" i="6" s="1"/>
  <c r="F5" i="6" s="1"/>
  <c r="C4" i="6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I8" i="5"/>
  <c r="J27" i="5"/>
  <c r="C10" i="9" l="1"/>
  <c r="J8" i="11" s="1"/>
  <c r="O13" i="11" s="1"/>
  <c r="J6" i="11"/>
  <c r="D5" i="6"/>
  <c r="E5" i="6" s="1"/>
  <c r="G5" i="6" s="1"/>
  <c r="H5" i="6" s="1"/>
  <c r="F6" i="6" s="1"/>
  <c r="D6" i="6"/>
  <c r="S16" i="17"/>
  <c r="Q16" i="17"/>
  <c r="N16" i="17"/>
  <c r="O16" i="17" s="1"/>
  <c r="X16" i="17"/>
  <c r="R16" i="17"/>
  <c r="F12" i="16"/>
  <c r="H12" i="16"/>
  <c r="A13" i="16"/>
  <c r="D12" i="16"/>
  <c r="I12" i="16"/>
  <c r="T9" i="16"/>
  <c r="O8" i="16"/>
  <c r="J4" i="10"/>
  <c r="K4" i="10" s="1"/>
  <c r="H3" i="11"/>
  <c r="O9" i="11" l="1"/>
  <c r="O10" i="11"/>
  <c r="O3" i="11"/>
  <c r="O4" i="11"/>
  <c r="O12" i="11"/>
  <c r="O5" i="11"/>
  <c r="O11" i="11"/>
  <c r="O7" i="11"/>
  <c r="O8" i="11"/>
  <c r="O6" i="11"/>
  <c r="D7" i="6"/>
  <c r="E6" i="6"/>
  <c r="G6" i="6" s="1"/>
  <c r="H6" i="6" s="1"/>
  <c r="F7" i="6" s="1"/>
  <c r="U16" i="17"/>
  <c r="AA16" i="17" s="1"/>
  <c r="M17" i="17"/>
  <c r="W16" i="17"/>
  <c r="T17" i="17"/>
  <c r="W8" i="16"/>
  <c r="U8" i="16"/>
  <c r="M9" i="16"/>
  <c r="I13" i="16"/>
  <c r="D13" i="16"/>
  <c r="A14" i="16"/>
  <c r="H13" i="16"/>
  <c r="F13" i="16"/>
  <c r="L6" i="8"/>
  <c r="N3" i="11"/>
  <c r="Q3" i="11" s="1"/>
  <c r="L4" i="10"/>
  <c r="I5" i="10" l="1"/>
  <c r="J5" i="10" s="1"/>
  <c r="K5" i="10" s="1"/>
  <c r="L5" i="10" s="1"/>
  <c r="I6" i="10" s="1"/>
  <c r="J6" i="10" s="1"/>
  <c r="K6" i="10" s="1"/>
  <c r="D8" i="6"/>
  <c r="E7" i="6"/>
  <c r="G7" i="6"/>
  <c r="H7" i="6" s="1"/>
  <c r="F8" i="6" s="1"/>
  <c r="N17" i="17"/>
  <c r="S17" i="17"/>
  <c r="Q17" i="17"/>
  <c r="X17" i="17"/>
  <c r="R17" i="17"/>
  <c r="F14" i="16"/>
  <c r="S9" i="16"/>
  <c r="AB9" i="17" s="1"/>
  <c r="Q9" i="16"/>
  <c r="N9" i="16"/>
  <c r="X9" i="16"/>
  <c r="R9" i="16"/>
  <c r="D14" i="16"/>
  <c r="I14" i="16"/>
  <c r="H14" i="16"/>
  <c r="A15" i="16"/>
  <c r="P3" i="11"/>
  <c r="D9" i="6" l="1"/>
  <c r="E8" i="6"/>
  <c r="G8" i="6" s="1"/>
  <c r="H8" i="6" s="1"/>
  <c r="F9" i="6" s="1"/>
  <c r="T18" i="17"/>
  <c r="O17" i="17"/>
  <c r="T10" i="16"/>
  <c r="O9" i="16"/>
  <c r="H15" i="16"/>
  <c r="A16" i="16"/>
  <c r="I15" i="16"/>
  <c r="D15" i="16"/>
  <c r="F15" i="16"/>
  <c r="L6" i="10"/>
  <c r="I7" i="10" s="1"/>
  <c r="D10" i="6" l="1"/>
  <c r="E9" i="6"/>
  <c r="G9" i="6" s="1"/>
  <c r="H9" i="6" s="1"/>
  <c r="F10" i="6" s="1"/>
  <c r="W17" i="17"/>
  <c r="M18" i="17"/>
  <c r="U17" i="17"/>
  <c r="AA17" i="17" s="1"/>
  <c r="I16" i="16"/>
  <c r="H16" i="16"/>
  <c r="A17" i="16"/>
  <c r="D16" i="16"/>
  <c r="W9" i="16"/>
  <c r="U9" i="16"/>
  <c r="M10" i="16"/>
  <c r="F16" i="16"/>
  <c r="J7" i="10"/>
  <c r="K7" i="10" s="1"/>
  <c r="D11" i="6" l="1"/>
  <c r="E10" i="6"/>
  <c r="G10" i="6" s="1"/>
  <c r="H10" i="6" s="1"/>
  <c r="F11" i="6" s="1"/>
  <c r="Q18" i="17"/>
  <c r="N18" i="17"/>
  <c r="S18" i="17"/>
  <c r="X18" i="17"/>
  <c r="R18" i="17"/>
  <c r="Q10" i="16"/>
  <c r="O10" i="16"/>
  <c r="N10" i="16"/>
  <c r="S10" i="16"/>
  <c r="AB10" i="17" s="1"/>
  <c r="X10" i="16"/>
  <c r="R10" i="16"/>
  <c r="D17" i="16"/>
  <c r="H17" i="16"/>
  <c r="I17" i="16"/>
  <c r="A18" i="16"/>
  <c r="F17" i="16"/>
  <c r="L7" i="10"/>
  <c r="I8" i="10" s="1"/>
  <c r="G11" i="6" l="1"/>
  <c r="H11" i="6" s="1"/>
  <c r="D12" i="6"/>
  <c r="E11" i="6"/>
  <c r="T19" i="17"/>
  <c r="O18" i="17"/>
  <c r="F18" i="16"/>
  <c r="T11" i="16"/>
  <c r="I18" i="16"/>
  <c r="H18" i="16"/>
  <c r="A19" i="16"/>
  <c r="D18" i="16"/>
  <c r="U10" i="16"/>
  <c r="M11" i="16"/>
  <c r="W10" i="16"/>
  <c r="J8" i="10"/>
  <c r="K8" i="10" s="1"/>
  <c r="F12" i="6" l="1"/>
  <c r="D13" i="6"/>
  <c r="E12" i="6"/>
  <c r="M19" i="17"/>
  <c r="W18" i="17"/>
  <c r="U18" i="17"/>
  <c r="AA18" i="17" s="1"/>
  <c r="F19" i="16"/>
  <c r="N11" i="16"/>
  <c r="Q11" i="16"/>
  <c r="O11" i="16"/>
  <c r="X11" i="16"/>
  <c r="S11" i="16"/>
  <c r="AB11" i="17" s="1"/>
  <c r="R11" i="16"/>
  <c r="I19" i="16"/>
  <c r="H19" i="16"/>
  <c r="A20" i="16"/>
  <c r="D19" i="16"/>
  <c r="L8" i="10"/>
  <c r="I9" i="10" s="1"/>
  <c r="D14" i="6" l="1"/>
  <c r="E13" i="6"/>
  <c r="G12" i="6"/>
  <c r="H12" i="6" s="1"/>
  <c r="F13" i="6" s="1"/>
  <c r="G13" i="6" s="1"/>
  <c r="H13" i="6" s="1"/>
  <c r="F14" i="6" s="1"/>
  <c r="S19" i="17"/>
  <c r="Q19" i="17"/>
  <c r="N19" i="17"/>
  <c r="X19" i="17"/>
  <c r="R19" i="17"/>
  <c r="A21" i="16"/>
  <c r="D20" i="16"/>
  <c r="I20" i="16"/>
  <c r="H20" i="16"/>
  <c r="T12" i="16"/>
  <c r="W11" i="16"/>
  <c r="U11" i="16"/>
  <c r="M12" i="16"/>
  <c r="F20" i="16"/>
  <c r="J9" i="10"/>
  <c r="K9" i="10" s="1"/>
  <c r="L9" i="10" s="1"/>
  <c r="I10" i="10" s="1"/>
  <c r="D15" i="6" l="1"/>
  <c r="E14" i="6"/>
  <c r="G14" i="6" s="1"/>
  <c r="H14" i="6" s="1"/>
  <c r="F15" i="6" s="1"/>
  <c r="T20" i="17"/>
  <c r="O19" i="17"/>
  <c r="F21" i="16"/>
  <c r="Q12" i="16"/>
  <c r="N12" i="16"/>
  <c r="S12" i="16"/>
  <c r="AB12" i="17" s="1"/>
  <c r="X12" i="16"/>
  <c r="R12" i="16"/>
  <c r="I21" i="16"/>
  <c r="H21" i="16"/>
  <c r="A22" i="16"/>
  <c r="D21" i="16"/>
  <c r="J10" i="10"/>
  <c r="K10" i="10" s="1"/>
  <c r="D16" i="6" l="1"/>
  <c r="E15" i="6"/>
  <c r="G15" i="6" s="1"/>
  <c r="H15" i="6" s="1"/>
  <c r="F16" i="6" s="1"/>
  <c r="M20" i="17"/>
  <c r="U19" i="17"/>
  <c r="AA19" i="17" s="1"/>
  <c r="W19" i="17"/>
  <c r="T13" i="16"/>
  <c r="D22" i="16"/>
  <c r="A23" i="16"/>
  <c r="I22" i="16"/>
  <c r="H22" i="16"/>
  <c r="O12" i="16"/>
  <c r="F22" i="16"/>
  <c r="L10" i="10"/>
  <c r="I11" i="10" s="1"/>
  <c r="D17" i="6" l="1"/>
  <c r="E16" i="6"/>
  <c r="G16" i="6" s="1"/>
  <c r="H16" i="6" s="1"/>
  <c r="F17" i="6" s="1"/>
  <c r="Q20" i="17"/>
  <c r="N20" i="17"/>
  <c r="S20" i="17"/>
  <c r="X20" i="17"/>
  <c r="R20" i="17"/>
  <c r="M13" i="16"/>
  <c r="W12" i="16"/>
  <c r="U12" i="16"/>
  <c r="H23" i="16"/>
  <c r="A24" i="16"/>
  <c r="D23" i="16"/>
  <c r="I23" i="16"/>
  <c r="F23" i="16"/>
  <c r="J11" i="10"/>
  <c r="K11" i="10" s="1"/>
  <c r="D18" i="6" l="1"/>
  <c r="E17" i="6"/>
  <c r="G17" i="6" s="1"/>
  <c r="H17" i="6" s="1"/>
  <c r="F18" i="6" s="1"/>
  <c r="T21" i="17"/>
  <c r="O20" i="17"/>
  <c r="I24" i="16"/>
  <c r="H24" i="16"/>
  <c r="A25" i="16"/>
  <c r="D24" i="16"/>
  <c r="Q13" i="16"/>
  <c r="N13" i="16"/>
  <c r="O13" i="16"/>
  <c r="X13" i="16"/>
  <c r="S13" i="16"/>
  <c r="AB13" i="17" s="1"/>
  <c r="R13" i="16"/>
  <c r="F24" i="16"/>
  <c r="L11" i="10"/>
  <c r="I12" i="10" l="1"/>
  <c r="J12" i="10" s="1"/>
  <c r="K12" i="10" s="1"/>
  <c r="D19" i="6"/>
  <c r="E18" i="6"/>
  <c r="G18" i="6" s="1"/>
  <c r="H18" i="6" s="1"/>
  <c r="F19" i="6" s="1"/>
  <c r="W20" i="17"/>
  <c r="U20" i="17"/>
  <c r="AA20" i="17" s="1"/>
  <c r="M21" i="17"/>
  <c r="U13" i="16"/>
  <c r="M14" i="16"/>
  <c r="W13" i="16"/>
  <c r="T14" i="16"/>
  <c r="D25" i="16"/>
  <c r="H25" i="16"/>
  <c r="A26" i="16"/>
  <c r="I25" i="16"/>
  <c r="F25" i="16"/>
  <c r="L12" i="10" l="1"/>
  <c r="D20" i="6"/>
  <c r="E19" i="6"/>
  <c r="G19" i="6" s="1"/>
  <c r="H19" i="6" s="1"/>
  <c r="F20" i="6" s="1"/>
  <c r="Q21" i="17"/>
  <c r="N21" i="17"/>
  <c r="X21" i="17"/>
  <c r="S21" i="17"/>
  <c r="R21" i="17"/>
  <c r="I26" i="16"/>
  <c r="H26" i="16"/>
  <c r="A27" i="16"/>
  <c r="D26" i="16"/>
  <c r="F26" i="16"/>
  <c r="N14" i="16"/>
  <c r="Q14" i="16"/>
  <c r="O14" i="16"/>
  <c r="S14" i="16"/>
  <c r="AB14" i="17" s="1"/>
  <c r="X14" i="16"/>
  <c r="R14" i="16"/>
  <c r="N4" i="11"/>
  <c r="I13" i="10" l="1"/>
  <c r="D21" i="6"/>
  <c r="E20" i="6"/>
  <c r="G20" i="6" s="1"/>
  <c r="H20" i="6" s="1"/>
  <c r="F21" i="6" s="1"/>
  <c r="T22" i="17"/>
  <c r="O21" i="17"/>
  <c r="W14" i="16"/>
  <c r="U14" i="16"/>
  <c r="M15" i="16"/>
  <c r="T15" i="16"/>
  <c r="H27" i="16"/>
  <c r="I27" i="16"/>
  <c r="D27" i="16"/>
  <c r="P4" i="11"/>
  <c r="N5" i="11" s="1"/>
  <c r="J13" i="10" l="1"/>
  <c r="K13" i="10" s="1"/>
  <c r="D22" i="6"/>
  <c r="E21" i="6"/>
  <c r="G21" i="6" s="1"/>
  <c r="H21" i="6" s="1"/>
  <c r="F22" i="6" s="1"/>
  <c r="M22" i="17"/>
  <c r="W21" i="17"/>
  <c r="U21" i="17"/>
  <c r="AA21" i="17" s="1"/>
  <c r="Q15" i="16"/>
  <c r="N15" i="16"/>
  <c r="S15" i="16"/>
  <c r="AB15" i="17" s="1"/>
  <c r="X15" i="16"/>
  <c r="R15" i="16"/>
  <c r="P5" i="11"/>
  <c r="N6" i="11" s="1"/>
  <c r="L13" i="10" l="1"/>
  <c r="M15" i="10" s="1"/>
  <c r="D23" i="6"/>
  <c r="E23" i="6" s="1"/>
  <c r="E22" i="6"/>
  <c r="G22" i="6" s="1"/>
  <c r="H22" i="6" s="1"/>
  <c r="F23" i="6" s="1"/>
  <c r="G23" i="6" s="1"/>
  <c r="H23" i="6" s="1"/>
  <c r="N22" i="17"/>
  <c r="Q22" i="17"/>
  <c r="O22" i="17"/>
  <c r="S22" i="17"/>
  <c r="X22" i="17"/>
  <c r="R22" i="17"/>
  <c r="T16" i="16"/>
  <c r="O15" i="16"/>
  <c r="P6" i="11"/>
  <c r="N7" i="11" s="1"/>
  <c r="W22" i="17" l="1"/>
  <c r="U22" i="17"/>
  <c r="AA22" i="17" s="1"/>
  <c r="M23" i="17"/>
  <c r="T23" i="17"/>
  <c r="M16" i="16"/>
  <c r="W15" i="16"/>
  <c r="U15" i="16"/>
  <c r="P7" i="11"/>
  <c r="N8" i="11" s="1"/>
  <c r="R7" i="5"/>
  <c r="Q7" i="5"/>
  <c r="AB4" i="5" s="1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N7" i="5" s="1"/>
  <c r="T8" i="5" s="1"/>
  <c r="H8" i="5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9" i="5"/>
  <c r="J19" i="5" s="1"/>
  <c r="G18" i="5"/>
  <c r="J18" i="5" s="1"/>
  <c r="G17" i="5"/>
  <c r="G16" i="5"/>
  <c r="J16" i="5" s="1"/>
  <c r="G15" i="5"/>
  <c r="J15" i="5" s="1"/>
  <c r="G14" i="5"/>
  <c r="J14" i="5" s="1"/>
  <c r="G13" i="5"/>
  <c r="J13" i="5" s="1"/>
  <c r="G12" i="5"/>
  <c r="J12" i="5" s="1"/>
  <c r="G11" i="5"/>
  <c r="J11" i="5" s="1"/>
  <c r="G10" i="5"/>
  <c r="J10" i="5" s="1"/>
  <c r="G9" i="5"/>
  <c r="J9" i="5" s="1"/>
  <c r="G8" i="5"/>
  <c r="J8" i="5" s="1"/>
  <c r="G7" i="5"/>
  <c r="S7" i="5" s="1"/>
  <c r="F8" i="5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A9" i="5"/>
  <c r="I9" i="5" s="1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D8" i="5" s="1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J70" i="2"/>
  <c r="J69" i="2" s="1"/>
  <c r="J68" i="2" s="1"/>
  <c r="J67" i="2" s="1"/>
  <c r="J66" i="2" s="1"/>
  <c r="J65" i="2" s="1"/>
  <c r="J64" i="2" s="1"/>
  <c r="J63" i="2" s="1"/>
  <c r="J62" i="2" s="1"/>
  <c r="J61" i="2" s="1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1" i="2" s="1"/>
  <c r="J40" i="2" s="1"/>
  <c r="J39" i="2" s="1"/>
  <c r="J38" i="2" s="1"/>
  <c r="J37" i="2" s="1"/>
  <c r="J36" i="2" s="1"/>
  <c r="J35" i="2" s="1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J11" i="2" s="1"/>
  <c r="J10" i="2" s="1"/>
  <c r="E7" i="2"/>
  <c r="I13" i="2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12" i="2"/>
  <c r="I11" i="2"/>
  <c r="E6" i="2"/>
  <c r="E11" i="2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D11" i="2"/>
  <c r="F11" i="2" s="1"/>
  <c r="C10" i="2"/>
  <c r="F10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E5" i="2"/>
  <c r="J4" i="2"/>
  <c r="E4" i="2"/>
  <c r="E3" i="2"/>
  <c r="E2" i="2"/>
  <c r="P4" i="1"/>
  <c r="E17" i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Q23" i="17" l="1"/>
  <c r="S23" i="17"/>
  <c r="N23" i="17"/>
  <c r="X23" i="17"/>
  <c r="R23" i="17"/>
  <c r="Q16" i="16"/>
  <c r="N16" i="16"/>
  <c r="S16" i="16"/>
  <c r="AB16" i="17" s="1"/>
  <c r="X16" i="16"/>
  <c r="R16" i="16"/>
  <c r="A10" i="5"/>
  <c r="H9" i="5"/>
  <c r="D9" i="5"/>
  <c r="D13" i="3"/>
  <c r="E13" i="3" s="1"/>
  <c r="F13" i="3" s="1"/>
  <c r="P8" i="11"/>
  <c r="N9" i="11" s="1"/>
  <c r="J7" i="5"/>
  <c r="X7" i="5" s="1"/>
  <c r="J17" i="5"/>
  <c r="O7" i="5"/>
  <c r="B59" i="2"/>
  <c r="B60" i="2" s="1"/>
  <c r="B61" i="2" s="1"/>
  <c r="B62" i="2" s="1"/>
  <c r="B63" i="2" s="1"/>
  <c r="B64" i="2" s="1"/>
  <c r="B65" i="2" s="1"/>
  <c r="L10" i="2"/>
  <c r="I10" i="2"/>
  <c r="H10" i="2"/>
  <c r="H11" i="2" s="1"/>
  <c r="G10" i="2"/>
  <c r="G11" i="2" s="1"/>
  <c r="D12" i="2"/>
  <c r="T24" i="17" l="1"/>
  <c r="O23" i="17"/>
  <c r="T17" i="16"/>
  <c r="O16" i="16"/>
  <c r="A11" i="5"/>
  <c r="I10" i="5"/>
  <c r="H10" i="5"/>
  <c r="D10" i="5"/>
  <c r="P9" i="11"/>
  <c r="N10" i="11" s="1"/>
  <c r="M8" i="5"/>
  <c r="W7" i="5"/>
  <c r="U7" i="5"/>
  <c r="D14" i="3"/>
  <c r="E14" i="3" s="1"/>
  <c r="F14" i="3" s="1"/>
  <c r="D13" i="2"/>
  <c r="F12" i="2"/>
  <c r="B66" i="2"/>
  <c r="B67" i="2" s="1"/>
  <c r="B68" i="2" s="1"/>
  <c r="B69" i="2" s="1"/>
  <c r="B70" i="2" s="1"/>
  <c r="M10" i="2"/>
  <c r="U23" i="17" l="1"/>
  <c r="AA23" i="17" s="1"/>
  <c r="M24" i="17"/>
  <c r="W23" i="17"/>
  <c r="U16" i="16"/>
  <c r="M17" i="16"/>
  <c r="W16" i="16"/>
  <c r="A12" i="5"/>
  <c r="I11" i="5"/>
  <c r="D11" i="5"/>
  <c r="H11" i="5"/>
  <c r="P10" i="11"/>
  <c r="N11" i="11" s="1"/>
  <c r="N8" i="5"/>
  <c r="R8" i="5"/>
  <c r="Q8" i="5"/>
  <c r="X8" i="5"/>
  <c r="S8" i="5"/>
  <c r="D15" i="3"/>
  <c r="E15" i="3" s="1"/>
  <c r="F15" i="3" s="1"/>
  <c r="G12" i="2"/>
  <c r="F13" i="2"/>
  <c r="D14" i="2"/>
  <c r="H12" i="2"/>
  <c r="H13" i="2" s="1"/>
  <c r="Q24" i="17" l="1"/>
  <c r="N24" i="17"/>
  <c r="S24" i="17"/>
  <c r="X24" i="17"/>
  <c r="R24" i="17"/>
  <c r="O17" i="16"/>
  <c r="N17" i="16"/>
  <c r="Q17" i="16"/>
  <c r="S17" i="16"/>
  <c r="X17" i="16"/>
  <c r="R17" i="16"/>
  <c r="A13" i="5"/>
  <c r="I12" i="5"/>
  <c r="D12" i="5"/>
  <c r="H12" i="5"/>
  <c r="P11" i="11"/>
  <c r="N12" i="11" s="1"/>
  <c r="O8" i="5"/>
  <c r="T9" i="5"/>
  <c r="D16" i="3"/>
  <c r="E16" i="3" s="1"/>
  <c r="F16" i="3" s="1"/>
  <c r="D15" i="2"/>
  <c r="F14" i="2"/>
  <c r="G13" i="2"/>
  <c r="G14" i="2" s="1"/>
  <c r="AB17" i="17" l="1"/>
  <c r="T25" i="17"/>
  <c r="O24" i="17"/>
  <c r="W17" i="16"/>
  <c r="U17" i="16"/>
  <c r="M18" i="16"/>
  <c r="T18" i="16"/>
  <c r="A14" i="5"/>
  <c r="I13" i="5"/>
  <c r="D13" i="5"/>
  <c r="H13" i="5"/>
  <c r="P12" i="11"/>
  <c r="N13" i="11" s="1"/>
  <c r="P13" i="11" s="1"/>
  <c r="Q13" i="11" s="1"/>
  <c r="M9" i="5"/>
  <c r="W8" i="5"/>
  <c r="U8" i="5"/>
  <c r="F15" i="2"/>
  <c r="D16" i="2"/>
  <c r="H14" i="2"/>
  <c r="H15" i="2" s="1"/>
  <c r="U24" i="17" l="1"/>
  <c r="AA24" i="17" s="1"/>
  <c r="M25" i="17"/>
  <c r="W24" i="17"/>
  <c r="S18" i="16"/>
  <c r="Q18" i="16"/>
  <c r="N18" i="16"/>
  <c r="X18" i="16"/>
  <c r="R18" i="16"/>
  <c r="A15" i="5"/>
  <c r="I14" i="5"/>
  <c r="D14" i="5"/>
  <c r="H14" i="5"/>
  <c r="N9" i="5"/>
  <c r="R9" i="5"/>
  <c r="Q9" i="5"/>
  <c r="S9" i="5"/>
  <c r="X9" i="5"/>
  <c r="F16" i="2"/>
  <c r="D17" i="2"/>
  <c r="H16" i="2"/>
  <c r="G15" i="2"/>
  <c r="G16" i="2" s="1"/>
  <c r="AB18" i="17" l="1"/>
  <c r="N25" i="17"/>
  <c r="S25" i="17"/>
  <c r="Q25" i="17"/>
  <c r="X25" i="17"/>
  <c r="R25" i="17"/>
  <c r="T19" i="16"/>
  <c r="O18" i="16"/>
  <c r="A16" i="5"/>
  <c r="I15" i="5"/>
  <c r="D15" i="5"/>
  <c r="H15" i="5"/>
  <c r="T10" i="5"/>
  <c r="O9" i="5"/>
  <c r="F17" i="2"/>
  <c r="H17" i="2" s="1"/>
  <c r="D18" i="2"/>
  <c r="T26" i="17" l="1"/>
  <c r="O25" i="17"/>
  <c r="M19" i="16"/>
  <c r="W18" i="16"/>
  <c r="U18" i="16"/>
  <c r="A17" i="5"/>
  <c r="I16" i="5"/>
  <c r="H16" i="5"/>
  <c r="D16" i="5"/>
  <c r="M10" i="5"/>
  <c r="W9" i="5"/>
  <c r="U9" i="5"/>
  <c r="F18" i="2"/>
  <c r="D19" i="2"/>
  <c r="G17" i="2"/>
  <c r="G18" i="2" s="1"/>
  <c r="W25" i="17" l="1"/>
  <c r="U25" i="17"/>
  <c r="AA25" i="17" s="1"/>
  <c r="M26" i="17"/>
  <c r="N19" i="16"/>
  <c r="S19" i="16"/>
  <c r="Q19" i="16"/>
  <c r="X19" i="16"/>
  <c r="R19" i="16"/>
  <c r="A18" i="5"/>
  <c r="I17" i="5"/>
  <c r="H17" i="5"/>
  <c r="D17" i="5"/>
  <c r="R10" i="5"/>
  <c r="Q10" i="5"/>
  <c r="S10" i="5"/>
  <c r="X10" i="5"/>
  <c r="N10" i="5"/>
  <c r="F19" i="2"/>
  <c r="D20" i="2"/>
  <c r="H18" i="2"/>
  <c r="H19" i="2" s="1"/>
  <c r="AB19" i="17" l="1"/>
  <c r="S26" i="17"/>
  <c r="Q26" i="17"/>
  <c r="N26" i="17"/>
  <c r="X26" i="17"/>
  <c r="R26" i="17"/>
  <c r="T20" i="16"/>
  <c r="O19" i="16"/>
  <c r="A19" i="5"/>
  <c r="I18" i="5"/>
  <c r="H18" i="5"/>
  <c r="D18" i="5"/>
  <c r="O10" i="5"/>
  <c r="T11" i="5"/>
  <c r="D21" i="2"/>
  <c r="F20" i="2"/>
  <c r="G19" i="2"/>
  <c r="T27" i="17" l="1"/>
  <c r="O26" i="17"/>
  <c r="U19" i="16"/>
  <c r="M20" i="16"/>
  <c r="W19" i="16"/>
  <c r="A20" i="5"/>
  <c r="I19" i="5"/>
  <c r="D19" i="5"/>
  <c r="H19" i="5"/>
  <c r="M11" i="5"/>
  <c r="W10" i="5"/>
  <c r="U10" i="5"/>
  <c r="G20" i="2"/>
  <c r="F21" i="2"/>
  <c r="D22" i="2"/>
  <c r="H20" i="2"/>
  <c r="H21" i="2" s="1"/>
  <c r="M27" i="17" l="1"/>
  <c r="W26" i="17"/>
  <c r="U26" i="17"/>
  <c r="AA26" i="17" s="1"/>
  <c r="T4" i="17"/>
  <c r="AF6" i="17"/>
  <c r="Q20" i="16"/>
  <c r="N20" i="16"/>
  <c r="S20" i="16"/>
  <c r="AB20" i="17" s="1"/>
  <c r="X20" i="16"/>
  <c r="R20" i="16"/>
  <c r="A21" i="5"/>
  <c r="I20" i="5"/>
  <c r="D20" i="5"/>
  <c r="H20" i="5"/>
  <c r="R11" i="5"/>
  <c r="Q11" i="5"/>
  <c r="S11" i="5"/>
  <c r="X11" i="5"/>
  <c r="N11" i="5"/>
  <c r="G21" i="2"/>
  <c r="D23" i="2"/>
  <c r="F22" i="2"/>
  <c r="N27" i="17" l="1"/>
  <c r="S27" i="17"/>
  <c r="R27" i="17"/>
  <c r="Q27" i="17"/>
  <c r="Q4" i="17" s="1"/>
  <c r="X27" i="17"/>
  <c r="T21" i="16"/>
  <c r="O20" i="16"/>
  <c r="A22" i="5"/>
  <c r="I21" i="5"/>
  <c r="D21" i="5"/>
  <c r="H21" i="5"/>
  <c r="O11" i="5"/>
  <c r="T12" i="5"/>
  <c r="F23" i="2"/>
  <c r="D24" i="2"/>
  <c r="H22" i="2"/>
  <c r="H23" i="2" s="1"/>
  <c r="G22" i="2"/>
  <c r="G23" i="2" s="1"/>
  <c r="AF10" i="17" l="1"/>
  <c r="X4" i="17"/>
  <c r="AF3" i="17"/>
  <c r="S4" i="17"/>
  <c r="AF5" i="17"/>
  <c r="R4" i="17"/>
  <c r="V4" i="17"/>
  <c r="AF8" i="17"/>
  <c r="O27" i="17"/>
  <c r="W20" i="16"/>
  <c r="U20" i="16"/>
  <c r="M21" i="16"/>
  <c r="A23" i="5"/>
  <c r="I22" i="5"/>
  <c r="D22" i="5"/>
  <c r="H22" i="5"/>
  <c r="M12" i="5"/>
  <c r="W11" i="5"/>
  <c r="U11" i="5"/>
  <c r="F24" i="2"/>
  <c r="D25" i="2"/>
  <c r="W27" i="17" l="1"/>
  <c r="U27" i="17"/>
  <c r="AA27" i="17" s="1"/>
  <c r="S21" i="16"/>
  <c r="AB21" i="17" s="1"/>
  <c r="Q21" i="16"/>
  <c r="N21" i="16"/>
  <c r="X21" i="16"/>
  <c r="R21" i="16"/>
  <c r="A24" i="5"/>
  <c r="I23" i="5"/>
  <c r="H23" i="5"/>
  <c r="D23" i="5"/>
  <c r="R12" i="5"/>
  <c r="Q12" i="5"/>
  <c r="X12" i="5"/>
  <c r="S12" i="5"/>
  <c r="N12" i="5"/>
  <c r="F25" i="2"/>
  <c r="D26" i="2"/>
  <c r="G24" i="2"/>
  <c r="G25" i="2" s="1"/>
  <c r="H24" i="2"/>
  <c r="H25" i="2" s="1"/>
  <c r="AF14" i="17" l="1"/>
  <c r="W4" i="17"/>
  <c r="AF9" i="17"/>
  <c r="U4" i="17"/>
  <c r="AF7" i="17"/>
  <c r="T22" i="16"/>
  <c r="O21" i="16"/>
  <c r="A25" i="5"/>
  <c r="I24" i="5"/>
  <c r="H24" i="5"/>
  <c r="D24" i="5"/>
  <c r="O12" i="5"/>
  <c r="T13" i="5"/>
  <c r="F26" i="2"/>
  <c r="D27" i="2"/>
  <c r="M22" i="16" l="1"/>
  <c r="U21" i="16"/>
  <c r="W21" i="16"/>
  <c r="A26" i="5"/>
  <c r="I25" i="5"/>
  <c r="H25" i="5"/>
  <c r="D25" i="5"/>
  <c r="M13" i="5"/>
  <c r="W12" i="5"/>
  <c r="U12" i="5"/>
  <c r="F27" i="2"/>
  <c r="D28" i="2"/>
  <c r="G26" i="2"/>
  <c r="G27" i="2" s="1"/>
  <c r="H26" i="2"/>
  <c r="H27" i="2" s="1"/>
  <c r="N22" i="16" l="1"/>
  <c r="Q22" i="16"/>
  <c r="O22" i="16"/>
  <c r="S22" i="16"/>
  <c r="AB22" i="17" s="1"/>
  <c r="X22" i="16"/>
  <c r="R22" i="16"/>
  <c r="A27" i="5"/>
  <c r="I26" i="5"/>
  <c r="H26" i="5"/>
  <c r="D26" i="5"/>
  <c r="R13" i="5"/>
  <c r="Q13" i="5"/>
  <c r="S13" i="5"/>
  <c r="X13" i="5"/>
  <c r="N13" i="5"/>
  <c r="D29" i="2"/>
  <c r="F28" i="2"/>
  <c r="G28" i="2"/>
  <c r="W22" i="16" l="1"/>
  <c r="U22" i="16"/>
  <c r="M23" i="16"/>
  <c r="T23" i="16"/>
  <c r="I27" i="5"/>
  <c r="H27" i="5"/>
  <c r="D27" i="5"/>
  <c r="O13" i="5"/>
  <c r="T14" i="5"/>
  <c r="F29" i="2"/>
  <c r="D30" i="2"/>
  <c r="H28" i="2"/>
  <c r="H29" i="2" s="1"/>
  <c r="Q23" i="16" l="1"/>
  <c r="N23" i="16"/>
  <c r="S23" i="16"/>
  <c r="AB23" i="17" s="1"/>
  <c r="X23" i="16"/>
  <c r="R23" i="16"/>
  <c r="M14" i="5"/>
  <c r="U13" i="5"/>
  <c r="W13" i="5"/>
  <c r="D31" i="2"/>
  <c r="F30" i="2"/>
  <c r="G29" i="2"/>
  <c r="G30" i="2" s="1"/>
  <c r="T24" i="16" l="1"/>
  <c r="O23" i="16"/>
  <c r="Q14" i="5"/>
  <c r="R14" i="5"/>
  <c r="S14" i="5"/>
  <c r="X14" i="5"/>
  <c r="N14" i="5"/>
  <c r="F31" i="2"/>
  <c r="D32" i="2"/>
  <c r="H30" i="2"/>
  <c r="H31" i="2" s="1"/>
  <c r="M24" i="16" l="1"/>
  <c r="W23" i="16"/>
  <c r="U23" i="16"/>
  <c r="O14" i="5"/>
  <c r="T15" i="5"/>
  <c r="F32" i="2"/>
  <c r="D33" i="2"/>
  <c r="G31" i="2"/>
  <c r="G32" i="2" s="1"/>
  <c r="N24" i="16" l="1"/>
  <c r="Q24" i="16"/>
  <c r="O24" i="16"/>
  <c r="X24" i="16"/>
  <c r="S24" i="16"/>
  <c r="AB24" i="17" s="1"/>
  <c r="R24" i="16"/>
  <c r="M15" i="5"/>
  <c r="W14" i="5"/>
  <c r="U14" i="5"/>
  <c r="F33" i="2"/>
  <c r="D34" i="2"/>
  <c r="H32" i="2"/>
  <c r="H33" i="2" s="1"/>
  <c r="U24" i="16" l="1"/>
  <c r="M25" i="16"/>
  <c r="W24" i="16"/>
  <c r="T25" i="16"/>
  <c r="Q15" i="5"/>
  <c r="R15" i="5"/>
  <c r="S15" i="5"/>
  <c r="X15" i="5"/>
  <c r="N15" i="5"/>
  <c r="O15" i="5"/>
  <c r="F34" i="2"/>
  <c r="D35" i="2"/>
  <c r="G33" i="2"/>
  <c r="G34" i="2" s="1"/>
  <c r="N25" i="16" l="1"/>
  <c r="O25" i="16" s="1"/>
  <c r="Q25" i="16"/>
  <c r="X25" i="16"/>
  <c r="S25" i="16"/>
  <c r="AB25" i="17" s="1"/>
  <c r="R25" i="16"/>
  <c r="M16" i="5"/>
  <c r="W15" i="5"/>
  <c r="U15" i="5"/>
  <c r="T16" i="5"/>
  <c r="F35" i="2"/>
  <c r="D36" i="2"/>
  <c r="H34" i="2"/>
  <c r="H35" i="2" s="1"/>
  <c r="W25" i="16" l="1"/>
  <c r="U25" i="16"/>
  <c r="M26" i="16"/>
  <c r="T26" i="16"/>
  <c r="R16" i="5"/>
  <c r="Q16" i="5"/>
  <c r="X16" i="5"/>
  <c r="S16" i="5"/>
  <c r="N16" i="5"/>
  <c r="D37" i="2"/>
  <c r="F36" i="2"/>
  <c r="H36" i="2"/>
  <c r="G35" i="2"/>
  <c r="G36" i="2" s="1"/>
  <c r="S26" i="16" l="1"/>
  <c r="Q26" i="16"/>
  <c r="N26" i="16"/>
  <c r="O26" i="16" s="1"/>
  <c r="X26" i="16"/>
  <c r="R26" i="16"/>
  <c r="O16" i="5"/>
  <c r="T17" i="5"/>
  <c r="F37" i="2"/>
  <c r="D38" i="2"/>
  <c r="AB26" i="17" l="1"/>
  <c r="AF15" i="17" s="1"/>
  <c r="AF16" i="17" s="1"/>
  <c r="M27" i="16"/>
  <c r="U26" i="16"/>
  <c r="W26" i="16"/>
  <c r="T27" i="16"/>
  <c r="M17" i="5"/>
  <c r="U16" i="5"/>
  <c r="W16" i="5"/>
  <c r="D39" i="2"/>
  <c r="F38" i="2"/>
  <c r="G37" i="2"/>
  <c r="G38" i="2" s="1"/>
  <c r="H37" i="2"/>
  <c r="H38" i="2" s="1"/>
  <c r="T4" i="16" l="1"/>
  <c r="AB6" i="16"/>
  <c r="X27" i="16"/>
  <c r="N27" i="16"/>
  <c r="Q27" i="16"/>
  <c r="Q4" i="16" s="1"/>
  <c r="S27" i="16"/>
  <c r="R27" i="16"/>
  <c r="R17" i="5"/>
  <c r="Q17" i="5"/>
  <c r="S17" i="5"/>
  <c r="X17" i="5"/>
  <c r="N17" i="5"/>
  <c r="F39" i="2"/>
  <c r="D40" i="2"/>
  <c r="O27" i="16" l="1"/>
  <c r="AB10" i="16"/>
  <c r="X4" i="16"/>
  <c r="AB3" i="16"/>
  <c r="S4" i="16"/>
  <c r="AB5" i="16"/>
  <c r="R4" i="16"/>
  <c r="V4" i="16"/>
  <c r="AB8" i="16"/>
  <c r="O17" i="5"/>
  <c r="T18" i="5"/>
  <c r="F40" i="2"/>
  <c r="D41" i="2"/>
  <c r="H39" i="2"/>
  <c r="H40" i="2" s="1"/>
  <c r="G39" i="2"/>
  <c r="G40" i="2" s="1"/>
  <c r="W27" i="16" l="1"/>
  <c r="U27" i="16"/>
  <c r="M18" i="5"/>
  <c r="W17" i="5"/>
  <c r="U17" i="5"/>
  <c r="F41" i="2"/>
  <c r="D42" i="2"/>
  <c r="G41" i="2"/>
  <c r="U4" i="16" l="1"/>
  <c r="AB7" i="16"/>
  <c r="W4" i="16"/>
  <c r="AB9" i="16"/>
  <c r="R18" i="5"/>
  <c r="Q18" i="5"/>
  <c r="X18" i="5"/>
  <c r="S18" i="5"/>
  <c r="N18" i="5"/>
  <c r="F42" i="2"/>
  <c r="D43" i="2"/>
  <c r="G42" i="2"/>
  <c r="H41" i="2"/>
  <c r="H42" i="2" s="1"/>
  <c r="AB13" i="16" l="1"/>
  <c r="O18" i="5"/>
  <c r="T19" i="5"/>
  <c r="F43" i="2"/>
  <c r="D44" i="2"/>
  <c r="H43" i="2"/>
  <c r="M19" i="5" l="1"/>
  <c r="W18" i="5"/>
  <c r="U18" i="5"/>
  <c r="D45" i="2"/>
  <c r="F44" i="2"/>
  <c r="H44" i="2"/>
  <c r="G43" i="2"/>
  <c r="G44" i="2" s="1"/>
  <c r="R19" i="5" l="1"/>
  <c r="Q19" i="5"/>
  <c r="X19" i="5"/>
  <c r="S19" i="5"/>
  <c r="N19" i="5"/>
  <c r="F45" i="2"/>
  <c r="D46" i="2"/>
  <c r="O19" i="5" l="1"/>
  <c r="T20" i="5"/>
  <c r="D47" i="2"/>
  <c r="F46" i="2"/>
  <c r="G45" i="2"/>
  <c r="G46" i="2" s="1"/>
  <c r="H45" i="2"/>
  <c r="H46" i="2" s="1"/>
  <c r="M20" i="5" l="1"/>
  <c r="W19" i="5"/>
  <c r="U19" i="5"/>
  <c r="F47" i="2"/>
  <c r="D48" i="2"/>
  <c r="R20" i="5" l="1"/>
  <c r="Q20" i="5"/>
  <c r="X20" i="5"/>
  <c r="S20" i="5"/>
  <c r="N20" i="5"/>
  <c r="F48" i="2"/>
  <c r="D49" i="2"/>
  <c r="H47" i="2"/>
  <c r="H48" i="2" s="1"/>
  <c r="G47" i="2"/>
  <c r="G48" i="2" s="1"/>
  <c r="O20" i="5" l="1"/>
  <c r="T21" i="5"/>
  <c r="F49" i="2"/>
  <c r="D50" i="2"/>
  <c r="M21" i="5" l="1"/>
  <c r="U20" i="5"/>
  <c r="W20" i="5"/>
  <c r="F50" i="2"/>
  <c r="D51" i="2"/>
  <c r="H49" i="2"/>
  <c r="H50" i="2" s="1"/>
  <c r="G49" i="2"/>
  <c r="G50" i="2" s="1"/>
  <c r="R21" i="5" l="1"/>
  <c r="Q21" i="5"/>
  <c r="S21" i="5"/>
  <c r="X21" i="5"/>
  <c r="N21" i="5"/>
  <c r="F51" i="2"/>
  <c r="D52" i="2"/>
  <c r="O21" i="5" l="1"/>
  <c r="T22" i="5"/>
  <c r="D53" i="2"/>
  <c r="F52" i="2"/>
  <c r="G51" i="2"/>
  <c r="G52" i="2" s="1"/>
  <c r="H51" i="2"/>
  <c r="H52" i="2" s="1"/>
  <c r="M22" i="5" l="1"/>
  <c r="U21" i="5"/>
  <c r="W21" i="5"/>
  <c r="F53" i="2"/>
  <c r="D54" i="2"/>
  <c r="R22" i="5" l="1"/>
  <c r="Q22" i="5"/>
  <c r="S22" i="5"/>
  <c r="X22" i="5"/>
  <c r="N22" i="5"/>
  <c r="D55" i="2"/>
  <c r="F54" i="2"/>
  <c r="H53" i="2"/>
  <c r="H54" i="2" s="1"/>
  <c r="G53" i="2"/>
  <c r="G54" i="2" s="1"/>
  <c r="O22" i="5" l="1"/>
  <c r="T23" i="5"/>
  <c r="F55" i="2"/>
  <c r="D56" i="2"/>
  <c r="M23" i="5" l="1"/>
  <c r="W22" i="5"/>
  <c r="U22" i="5"/>
  <c r="F56" i="2"/>
  <c r="D57" i="2"/>
  <c r="H55" i="2"/>
  <c r="H56" i="2" s="1"/>
  <c r="G55" i="2"/>
  <c r="G56" i="2" s="1"/>
  <c r="Q23" i="5" l="1"/>
  <c r="R23" i="5"/>
  <c r="X23" i="5"/>
  <c r="S23" i="5"/>
  <c r="N23" i="5"/>
  <c r="F57" i="2"/>
  <c r="D58" i="2"/>
  <c r="O23" i="5" l="1"/>
  <c r="T24" i="5"/>
  <c r="F58" i="2"/>
  <c r="D59" i="2"/>
  <c r="H57" i="2"/>
  <c r="H58" i="2" s="1"/>
  <c r="G57" i="2"/>
  <c r="G58" i="2" s="1"/>
  <c r="M24" i="5" l="1"/>
  <c r="W23" i="5"/>
  <c r="U23" i="5"/>
  <c r="F59" i="2"/>
  <c r="D60" i="2"/>
  <c r="R24" i="5" l="1"/>
  <c r="Q24" i="5"/>
  <c r="S24" i="5"/>
  <c r="X24" i="5"/>
  <c r="N24" i="5"/>
  <c r="D61" i="2"/>
  <c r="F60" i="2"/>
  <c r="H59" i="2"/>
  <c r="H60" i="2" s="1"/>
  <c r="G59" i="2"/>
  <c r="G60" i="2" s="1"/>
  <c r="O24" i="5" l="1"/>
  <c r="T25" i="5"/>
  <c r="F61" i="2"/>
  <c r="D62" i="2"/>
  <c r="M25" i="5" l="1"/>
  <c r="U24" i="5"/>
  <c r="W24" i="5"/>
  <c r="F62" i="2"/>
  <c r="D63" i="2"/>
  <c r="G61" i="2"/>
  <c r="G62" i="2" s="1"/>
  <c r="H61" i="2"/>
  <c r="H62" i="2" s="1"/>
  <c r="R25" i="5" l="1"/>
  <c r="Q25" i="5"/>
  <c r="S25" i="5"/>
  <c r="X25" i="5"/>
  <c r="N25" i="5"/>
  <c r="F63" i="2"/>
  <c r="D64" i="2"/>
  <c r="O25" i="5" l="1"/>
  <c r="T26" i="5"/>
  <c r="H63" i="2"/>
  <c r="F64" i="2"/>
  <c r="D65" i="2"/>
  <c r="G63" i="2"/>
  <c r="G64" i="2" s="1"/>
  <c r="M26" i="5" l="1"/>
  <c r="W25" i="5"/>
  <c r="U25" i="5"/>
  <c r="F65" i="2"/>
  <c r="D66" i="2"/>
  <c r="H64" i="2"/>
  <c r="H65" i="2" s="1"/>
  <c r="R26" i="5" l="1"/>
  <c r="Q26" i="5"/>
  <c r="S26" i="5"/>
  <c r="X26" i="5"/>
  <c r="N26" i="5"/>
  <c r="F66" i="2"/>
  <c r="D67" i="2"/>
  <c r="H66" i="2"/>
  <c r="G65" i="2"/>
  <c r="G66" i="2" s="1"/>
  <c r="O26" i="5" l="1"/>
  <c r="T27" i="5"/>
  <c r="F67" i="2"/>
  <c r="H67" i="2" s="1"/>
  <c r="D68" i="2"/>
  <c r="G67" i="2"/>
  <c r="AB6" i="5" l="1"/>
  <c r="M27" i="5"/>
  <c r="W26" i="5"/>
  <c r="U26" i="5"/>
  <c r="D69" i="2"/>
  <c r="F68" i="2"/>
  <c r="R27" i="5" l="1"/>
  <c r="S27" i="5"/>
  <c r="AB3" i="5" s="1"/>
  <c r="Q27" i="5"/>
  <c r="X27" i="5"/>
  <c r="N27" i="5"/>
  <c r="G68" i="2"/>
  <c r="G69" i="2" s="1"/>
  <c r="F69" i="2"/>
  <c r="D70" i="2"/>
  <c r="F70" i="2" s="1"/>
  <c r="H68" i="2"/>
  <c r="H69" i="2" s="1"/>
  <c r="AB8" i="5" l="1"/>
  <c r="AB10" i="5"/>
  <c r="AB5" i="5"/>
  <c r="O27" i="5"/>
  <c r="K70" i="2"/>
  <c r="G70" i="2"/>
  <c r="H70" i="2"/>
  <c r="K69" i="2"/>
  <c r="K68" i="2" s="1"/>
  <c r="K67" i="2" s="1"/>
  <c r="K66" i="2" s="1"/>
  <c r="K65" i="2" s="1"/>
  <c r="K64" i="2" s="1"/>
  <c r="K63" i="2" s="1"/>
  <c r="K62" i="2" s="1"/>
  <c r="K61" i="2" s="1"/>
  <c r="K60" i="2" s="1"/>
  <c r="K59" i="2" s="1"/>
  <c r="K58" i="2" s="1"/>
  <c r="K57" i="2" s="1"/>
  <c r="K56" i="2" s="1"/>
  <c r="K55" i="2" s="1"/>
  <c r="K54" i="2" s="1"/>
  <c r="K53" i="2" s="1"/>
  <c r="K52" i="2" s="1"/>
  <c r="K51" i="2" s="1"/>
  <c r="K50" i="2" s="1"/>
  <c r="K49" i="2" s="1"/>
  <c r="K48" i="2" s="1"/>
  <c r="K47" i="2" s="1"/>
  <c r="K46" i="2" s="1"/>
  <c r="K45" i="2" s="1"/>
  <c r="K44" i="2" s="1"/>
  <c r="K43" i="2" s="1"/>
  <c r="K42" i="2" s="1"/>
  <c r="K41" i="2" s="1"/>
  <c r="K40" i="2" s="1"/>
  <c r="K39" i="2" s="1"/>
  <c r="K38" i="2" s="1"/>
  <c r="K37" i="2" s="1"/>
  <c r="K36" i="2" s="1"/>
  <c r="K35" i="2" s="1"/>
  <c r="K34" i="2" s="1"/>
  <c r="K33" i="2" s="1"/>
  <c r="K32" i="2" s="1"/>
  <c r="K31" i="2" s="1"/>
  <c r="K30" i="2" s="1"/>
  <c r="K29" i="2" s="1"/>
  <c r="K28" i="2" s="1"/>
  <c r="K27" i="2" s="1"/>
  <c r="K26" i="2" s="1"/>
  <c r="K25" i="2" s="1"/>
  <c r="K24" i="2" s="1"/>
  <c r="K23" i="2" s="1"/>
  <c r="K22" i="2" s="1"/>
  <c r="K21" i="2" s="1"/>
  <c r="K20" i="2" s="1"/>
  <c r="K19" i="2" s="1"/>
  <c r="K18" i="2" s="1"/>
  <c r="K17" i="2" s="1"/>
  <c r="K16" i="2" s="1"/>
  <c r="K15" i="2" s="1"/>
  <c r="K14" i="2" s="1"/>
  <c r="K13" i="2" s="1"/>
  <c r="K12" i="2" s="1"/>
  <c r="K11" i="2" s="1"/>
  <c r="K10" i="2" s="1"/>
  <c r="N10" i="2"/>
  <c r="U27" i="5" l="1"/>
  <c r="W27" i="5"/>
  <c r="AB9" i="5" s="1"/>
  <c r="D17" i="1"/>
  <c r="C15" i="1"/>
  <c r="F15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AB7" i="5" l="1"/>
  <c r="AB13" i="5" s="1"/>
  <c r="B64" i="1"/>
  <c r="B65" i="1" s="1"/>
  <c r="B66" i="1" s="1"/>
  <c r="B67" i="1" s="1"/>
  <c r="B68" i="1" s="1"/>
  <c r="B69" i="1" s="1"/>
  <c r="B70" i="1" s="1"/>
  <c r="L15" i="1"/>
  <c r="G15" i="1"/>
  <c r="I15" i="1"/>
  <c r="H15" i="1"/>
  <c r="H16" i="1" s="1"/>
  <c r="D18" i="1"/>
  <c r="F17" i="1"/>
  <c r="F16" i="1"/>
  <c r="I16" i="1" l="1"/>
  <c r="G16" i="1"/>
  <c r="I17" i="1"/>
  <c r="B71" i="1"/>
  <c r="B72" i="1" s="1"/>
  <c r="B73" i="1" s="1"/>
  <c r="B74" i="1" s="1"/>
  <c r="B75" i="1" s="1"/>
  <c r="M15" i="1"/>
  <c r="H17" i="1"/>
  <c r="G17" i="1"/>
  <c r="D19" i="1"/>
  <c r="F18" i="1"/>
  <c r="I18" i="1" l="1"/>
  <c r="H18" i="1"/>
  <c r="G18" i="1"/>
  <c r="D20" i="1"/>
  <c r="F19" i="1"/>
  <c r="I19" i="1" l="1"/>
  <c r="H19" i="1"/>
  <c r="G19" i="1"/>
  <c r="D21" i="1"/>
  <c r="F20" i="1"/>
  <c r="I20" i="1" s="1"/>
  <c r="H20" i="1" l="1"/>
  <c r="G20" i="1"/>
  <c r="D22" i="1"/>
  <c r="F21" i="1"/>
  <c r="I21" i="1" s="1"/>
  <c r="H21" i="1" l="1"/>
  <c r="G21" i="1"/>
  <c r="D23" i="1"/>
  <c r="F22" i="1"/>
  <c r="I22" i="1" s="1"/>
  <c r="H22" i="1" l="1"/>
  <c r="G22" i="1"/>
  <c r="D24" i="1"/>
  <c r="F23" i="1"/>
  <c r="I23" i="1" s="1"/>
  <c r="H23" i="1" l="1"/>
  <c r="G23" i="1"/>
  <c r="D25" i="1"/>
  <c r="F24" i="1"/>
  <c r="I24" i="1" s="1"/>
  <c r="H24" i="1" l="1"/>
  <c r="G24" i="1"/>
  <c r="D26" i="1"/>
  <c r="F25" i="1"/>
  <c r="I25" i="1" s="1"/>
  <c r="H25" i="1" l="1"/>
  <c r="G25" i="1"/>
  <c r="D27" i="1"/>
  <c r="F26" i="1"/>
  <c r="I26" i="1" s="1"/>
  <c r="H26" i="1" l="1"/>
  <c r="G26" i="1"/>
  <c r="D28" i="1"/>
  <c r="F27" i="1"/>
  <c r="I27" i="1" s="1"/>
  <c r="H27" i="1" l="1"/>
  <c r="G27" i="1"/>
  <c r="D29" i="1"/>
  <c r="F28" i="1"/>
  <c r="I28" i="1" s="1"/>
  <c r="G28" i="1" l="1"/>
  <c r="H28" i="1"/>
  <c r="D30" i="1"/>
  <c r="F29" i="1"/>
  <c r="I29" i="1" s="1"/>
  <c r="H29" i="1" l="1"/>
  <c r="G29" i="1"/>
  <c r="D31" i="1"/>
  <c r="F30" i="1"/>
  <c r="G30" i="1" s="1"/>
  <c r="H30" i="1" l="1"/>
  <c r="I30" i="1"/>
  <c r="D32" i="1"/>
  <c r="F31" i="1"/>
  <c r="G31" i="1" s="1"/>
  <c r="I31" i="1" l="1"/>
  <c r="H31" i="1"/>
  <c r="D33" i="1"/>
  <c r="F32" i="1"/>
  <c r="I32" i="1" s="1"/>
  <c r="G32" i="1" l="1"/>
  <c r="H32" i="1"/>
  <c r="D34" i="1"/>
  <c r="F33" i="1"/>
  <c r="G33" i="1" s="1"/>
  <c r="H33" i="1" l="1"/>
  <c r="I33" i="1"/>
  <c r="D35" i="1"/>
  <c r="F34" i="1"/>
  <c r="G34" i="1" s="1"/>
  <c r="I34" i="1" l="1"/>
  <c r="H34" i="1"/>
  <c r="D36" i="1"/>
  <c r="F35" i="1"/>
  <c r="G35" i="1" s="1"/>
  <c r="H35" i="1" l="1"/>
  <c r="I35" i="1"/>
  <c r="D37" i="1"/>
  <c r="F36" i="1"/>
  <c r="G36" i="1" s="1"/>
  <c r="I36" i="1" l="1"/>
  <c r="H36" i="1"/>
  <c r="D38" i="1"/>
  <c r="F37" i="1"/>
  <c r="G37" i="1" s="1"/>
  <c r="H37" i="1" l="1"/>
  <c r="I37" i="1"/>
  <c r="D39" i="1"/>
  <c r="F38" i="1"/>
  <c r="G38" i="1" s="1"/>
  <c r="I38" i="1" l="1"/>
  <c r="H38" i="1"/>
  <c r="D40" i="1"/>
  <c r="F39" i="1"/>
  <c r="G39" i="1" s="1"/>
  <c r="H39" i="1" l="1"/>
  <c r="I39" i="1"/>
  <c r="D41" i="1"/>
  <c r="F40" i="1"/>
  <c r="G40" i="1" s="1"/>
  <c r="I40" i="1" l="1"/>
  <c r="H40" i="1"/>
  <c r="D42" i="1"/>
  <c r="F41" i="1"/>
  <c r="G41" i="1" s="1"/>
  <c r="H41" i="1" l="1"/>
  <c r="I41" i="1"/>
  <c r="D43" i="1"/>
  <c r="F42" i="1"/>
  <c r="G42" i="1" s="1"/>
  <c r="I42" i="1" l="1"/>
  <c r="H42" i="1"/>
  <c r="D44" i="1"/>
  <c r="F43" i="1"/>
  <c r="G43" i="1" s="1"/>
  <c r="H43" i="1" l="1"/>
  <c r="I43" i="1"/>
  <c r="D45" i="1"/>
  <c r="F44" i="1"/>
  <c r="G44" i="1" s="1"/>
  <c r="I44" i="1" l="1"/>
  <c r="H44" i="1"/>
  <c r="D46" i="1"/>
  <c r="F45" i="1"/>
  <c r="G45" i="1" s="1"/>
  <c r="H45" i="1" l="1"/>
  <c r="I45" i="1"/>
  <c r="D47" i="1"/>
  <c r="F46" i="1"/>
  <c r="G46" i="1" s="1"/>
  <c r="I46" i="1" l="1"/>
  <c r="H46" i="1"/>
  <c r="D48" i="1"/>
  <c r="F47" i="1"/>
  <c r="G47" i="1" s="1"/>
  <c r="H47" i="1" l="1"/>
  <c r="I47" i="1"/>
  <c r="D49" i="1"/>
  <c r="F48" i="1"/>
  <c r="G48" i="1" s="1"/>
  <c r="I48" i="1" l="1"/>
  <c r="H48" i="1"/>
  <c r="D50" i="1"/>
  <c r="F49" i="1"/>
  <c r="G49" i="1" s="1"/>
  <c r="H49" i="1" l="1"/>
  <c r="I49" i="1"/>
  <c r="D51" i="1"/>
  <c r="F50" i="1"/>
  <c r="G50" i="1" s="1"/>
  <c r="I50" i="1" l="1"/>
  <c r="H50" i="1"/>
  <c r="D52" i="1"/>
  <c r="F51" i="1"/>
  <c r="G51" i="1" s="1"/>
  <c r="H51" i="1" l="1"/>
  <c r="I51" i="1"/>
  <c r="D53" i="1"/>
  <c r="F52" i="1"/>
  <c r="G52" i="1" s="1"/>
  <c r="I52" i="1" l="1"/>
  <c r="H52" i="1"/>
  <c r="D54" i="1"/>
  <c r="F53" i="1"/>
  <c r="G53" i="1" s="1"/>
  <c r="H53" i="1" l="1"/>
  <c r="I53" i="1"/>
  <c r="D55" i="1"/>
  <c r="F54" i="1"/>
  <c r="G54" i="1" s="1"/>
  <c r="I54" i="1" l="1"/>
  <c r="H54" i="1"/>
  <c r="D56" i="1"/>
  <c r="F55" i="1"/>
  <c r="G55" i="1" s="1"/>
  <c r="H55" i="1" l="1"/>
  <c r="I55" i="1"/>
  <c r="D57" i="1"/>
  <c r="F56" i="1"/>
  <c r="G56" i="1" s="1"/>
  <c r="I56" i="1" l="1"/>
  <c r="H56" i="1"/>
  <c r="D58" i="1"/>
  <c r="F57" i="1"/>
  <c r="G57" i="1" s="1"/>
  <c r="H57" i="1" l="1"/>
  <c r="I57" i="1"/>
  <c r="D59" i="1"/>
  <c r="F58" i="1"/>
  <c r="G58" i="1" s="1"/>
  <c r="I58" i="1" l="1"/>
  <c r="H58" i="1"/>
  <c r="D60" i="1"/>
  <c r="F59" i="1"/>
  <c r="G59" i="1" s="1"/>
  <c r="H59" i="1" l="1"/>
  <c r="I59" i="1"/>
  <c r="D61" i="1"/>
  <c r="F60" i="1"/>
  <c r="G60" i="1" s="1"/>
  <c r="I60" i="1" l="1"/>
  <c r="H60" i="1"/>
  <c r="D62" i="1"/>
  <c r="F61" i="1"/>
  <c r="G61" i="1" s="1"/>
  <c r="H61" i="1" l="1"/>
  <c r="I61" i="1"/>
  <c r="D63" i="1"/>
  <c r="F62" i="1"/>
  <c r="G62" i="1" s="1"/>
  <c r="I62" i="1" l="1"/>
  <c r="H62" i="1"/>
  <c r="D64" i="1"/>
  <c r="F63" i="1"/>
  <c r="G63" i="1" s="1"/>
  <c r="H63" i="1" l="1"/>
  <c r="I63" i="1"/>
  <c r="D65" i="1"/>
  <c r="F64" i="1"/>
  <c r="G64" i="1" s="1"/>
  <c r="I64" i="1" l="1"/>
  <c r="H64" i="1"/>
  <c r="D66" i="1"/>
  <c r="F65" i="1"/>
  <c r="G65" i="1" s="1"/>
  <c r="H65" i="1" l="1"/>
  <c r="I65" i="1"/>
  <c r="D67" i="1"/>
  <c r="F66" i="1"/>
  <c r="G66" i="1" s="1"/>
  <c r="I66" i="1" l="1"/>
  <c r="H66" i="1"/>
  <c r="D68" i="1"/>
  <c r="F67" i="1"/>
  <c r="G67" i="1" s="1"/>
  <c r="H67" i="1" l="1"/>
  <c r="I67" i="1"/>
  <c r="D69" i="1"/>
  <c r="F68" i="1"/>
  <c r="G68" i="1" s="1"/>
  <c r="I68" i="1" l="1"/>
  <c r="H68" i="1"/>
  <c r="D70" i="1"/>
  <c r="F69" i="1"/>
  <c r="G69" i="1" s="1"/>
  <c r="H69" i="1" l="1"/>
  <c r="I69" i="1"/>
  <c r="D71" i="1"/>
  <c r="F70" i="1"/>
  <c r="G70" i="1" s="1"/>
  <c r="I70" i="1" l="1"/>
  <c r="H70" i="1"/>
  <c r="D72" i="1"/>
  <c r="F71" i="1"/>
  <c r="G71" i="1" s="1"/>
  <c r="H71" i="1" l="1"/>
  <c r="I71" i="1"/>
  <c r="D73" i="1"/>
  <c r="F72" i="1"/>
  <c r="G72" i="1" s="1"/>
  <c r="I72" i="1" l="1"/>
  <c r="H72" i="1"/>
  <c r="D74" i="1"/>
  <c r="F73" i="1"/>
  <c r="G73" i="1" s="1"/>
  <c r="H73" i="1" l="1"/>
  <c r="I73" i="1"/>
  <c r="D75" i="1"/>
  <c r="F75" i="1" s="1"/>
  <c r="F74" i="1"/>
  <c r="G74" i="1" s="1"/>
  <c r="G75" i="1" l="1"/>
  <c r="J75" i="1"/>
  <c r="K75" i="1"/>
  <c r="K74" i="1" s="1"/>
  <c r="K73" i="1" s="1"/>
  <c r="K72" i="1" s="1"/>
  <c r="K71" i="1" s="1"/>
  <c r="K70" i="1" s="1"/>
  <c r="K69" i="1" s="1"/>
  <c r="K68" i="1" s="1"/>
  <c r="K67" i="1" s="1"/>
  <c r="K66" i="1" s="1"/>
  <c r="K65" i="1" s="1"/>
  <c r="K64" i="1" s="1"/>
  <c r="K63" i="1" s="1"/>
  <c r="K62" i="1" s="1"/>
  <c r="K61" i="1" s="1"/>
  <c r="K60" i="1" s="1"/>
  <c r="K59" i="1" s="1"/>
  <c r="K58" i="1" s="1"/>
  <c r="K57" i="1" s="1"/>
  <c r="K56" i="1" s="1"/>
  <c r="K55" i="1" s="1"/>
  <c r="K54" i="1" s="1"/>
  <c r="K53" i="1" s="1"/>
  <c r="K52" i="1" s="1"/>
  <c r="K51" i="1" s="1"/>
  <c r="K50" i="1" s="1"/>
  <c r="K49" i="1" s="1"/>
  <c r="K48" i="1" s="1"/>
  <c r="K47" i="1" s="1"/>
  <c r="K46" i="1" s="1"/>
  <c r="K45" i="1" s="1"/>
  <c r="K44" i="1" s="1"/>
  <c r="K43" i="1" s="1"/>
  <c r="K42" i="1" s="1"/>
  <c r="K41" i="1" s="1"/>
  <c r="K40" i="1" s="1"/>
  <c r="K39" i="1" s="1"/>
  <c r="K38" i="1" s="1"/>
  <c r="K37" i="1" s="1"/>
  <c r="K36" i="1" s="1"/>
  <c r="K35" i="1" s="1"/>
  <c r="K34" i="1" s="1"/>
  <c r="K33" i="1" s="1"/>
  <c r="K32" i="1" s="1"/>
  <c r="K31" i="1" s="1"/>
  <c r="K30" i="1" s="1"/>
  <c r="K29" i="1" s="1"/>
  <c r="K28" i="1" s="1"/>
  <c r="K27" i="1" s="1"/>
  <c r="K26" i="1" s="1"/>
  <c r="K25" i="1" s="1"/>
  <c r="K24" i="1" s="1"/>
  <c r="K23" i="1" s="1"/>
  <c r="K22" i="1" s="1"/>
  <c r="K21" i="1" s="1"/>
  <c r="K20" i="1" s="1"/>
  <c r="K19" i="1" s="1"/>
  <c r="K18" i="1" s="1"/>
  <c r="K17" i="1" s="1"/>
  <c r="K16" i="1" s="1"/>
  <c r="K15" i="1" s="1"/>
  <c r="I74" i="1"/>
  <c r="I75" i="1" s="1"/>
  <c r="N15" i="1" s="1"/>
  <c r="H74" i="1"/>
  <c r="H75" i="1" s="1"/>
  <c r="J74" i="1"/>
  <c r="J73" i="1" s="1"/>
  <c r="J72" i="1" s="1"/>
  <c r="J71" i="1" s="1"/>
  <c r="J70" i="1" s="1"/>
  <c r="J69" i="1" s="1"/>
  <c r="J68" i="1" s="1"/>
  <c r="J67" i="1" s="1"/>
  <c r="J66" i="1" s="1"/>
  <c r="J65" i="1" s="1"/>
  <c r="J64" i="1" s="1"/>
  <c r="J63" i="1" s="1"/>
  <c r="J62" i="1" s="1"/>
  <c r="J61" i="1" s="1"/>
  <c r="J60" i="1" s="1"/>
  <c r="J59" i="1" s="1"/>
  <c r="J58" i="1" s="1"/>
  <c r="J57" i="1" s="1"/>
  <c r="J56" i="1" s="1"/>
  <c r="J55" i="1" s="1"/>
  <c r="J54" i="1" s="1"/>
  <c r="J53" i="1" s="1"/>
  <c r="J52" i="1" s="1"/>
  <c r="J51" i="1" s="1"/>
  <c r="J50" i="1" s="1"/>
  <c r="J49" i="1" s="1"/>
  <c r="J48" i="1" s="1"/>
  <c r="J47" i="1" s="1"/>
  <c r="J46" i="1" s="1"/>
  <c r="J45" i="1" s="1"/>
  <c r="J44" i="1" s="1"/>
  <c r="J43" i="1" s="1"/>
  <c r="J42" i="1" s="1"/>
  <c r="J41" i="1" s="1"/>
  <c r="J40" i="1" s="1"/>
  <c r="J39" i="1" s="1"/>
  <c r="J38" i="1" s="1"/>
  <c r="J37" i="1" s="1"/>
  <c r="J36" i="1" s="1"/>
  <c r="J35" i="1" s="1"/>
  <c r="J34" i="1" s="1"/>
  <c r="J33" i="1" s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8" i="1" s="1"/>
  <c r="J17" i="1" s="1"/>
  <c r="J16" i="1" s="1"/>
  <c r="J15" i="1" s="1"/>
</calcChain>
</file>

<file path=xl/sharedStrings.xml><?xml version="1.0" encoding="utf-8"?>
<sst xmlns="http://schemas.openxmlformats.org/spreadsheetml/2006/main" count="417" uniqueCount="180">
  <si>
    <t>t</t>
  </si>
  <si>
    <t>Debt</t>
  </si>
  <si>
    <t>Borrowing rate</t>
  </si>
  <si>
    <t>inflation</t>
  </si>
  <si>
    <t>growth rate</t>
  </si>
  <si>
    <t>RFR</t>
  </si>
  <si>
    <t>Cost of running</t>
  </si>
  <si>
    <t>Revenue</t>
  </si>
  <si>
    <t>Profit</t>
  </si>
  <si>
    <t>NPV</t>
  </si>
  <si>
    <t>Accumulate profit</t>
  </si>
  <si>
    <t>IRR</t>
  </si>
  <si>
    <t>Payback</t>
  </si>
  <si>
    <t>DPP</t>
  </si>
  <si>
    <t>Accumulated profit</t>
  </si>
  <si>
    <t>AP</t>
  </si>
  <si>
    <t>Accumulation</t>
  </si>
  <si>
    <t>RDR</t>
  </si>
  <si>
    <t>Capital paid</t>
  </si>
  <si>
    <t>Capital outstanding</t>
  </si>
  <si>
    <t>payment made</t>
  </si>
  <si>
    <t>Life Table</t>
  </si>
  <si>
    <t>AM92</t>
  </si>
  <si>
    <t>Age x</t>
  </si>
  <si>
    <t>l[x]</t>
  </si>
  <si>
    <t>l[x-1]+1</t>
  </si>
  <si>
    <t>lx</t>
  </si>
  <si>
    <t>d[x]</t>
  </si>
  <si>
    <t>d[x-1]+1</t>
  </si>
  <si>
    <t>dx</t>
  </si>
  <si>
    <t>Age</t>
  </si>
  <si>
    <t>RB</t>
  </si>
  <si>
    <t>Expense</t>
  </si>
  <si>
    <t>Reg Ex</t>
  </si>
  <si>
    <t>start</t>
  </si>
  <si>
    <t>mid</t>
  </si>
  <si>
    <t>Prem</t>
  </si>
  <si>
    <t>Death exp</t>
  </si>
  <si>
    <t>Mat Exp</t>
  </si>
  <si>
    <t>end</t>
  </si>
  <si>
    <t>Init Comm</t>
  </si>
  <si>
    <t>Ind prob death</t>
  </si>
  <si>
    <t>Prob IF start</t>
  </si>
  <si>
    <t>Death</t>
  </si>
  <si>
    <t>Prob if end</t>
  </si>
  <si>
    <t>Death Ben</t>
  </si>
  <si>
    <t>Mat Ben</t>
  </si>
  <si>
    <t>SA</t>
  </si>
  <si>
    <t>i</t>
  </si>
  <si>
    <t>e</t>
  </si>
  <si>
    <t>j'</t>
  </si>
  <si>
    <t>Year</t>
  </si>
  <si>
    <t>Equity Index</t>
  </si>
  <si>
    <t>Bond Index</t>
  </si>
  <si>
    <t>Equity Return</t>
  </si>
  <si>
    <t>Bond Return</t>
  </si>
  <si>
    <t>Overall Return</t>
  </si>
  <si>
    <t>Invested Money</t>
  </si>
  <si>
    <t>Fund Value</t>
  </si>
  <si>
    <t>Current Value of Investment</t>
  </si>
  <si>
    <t>Start</t>
  </si>
  <si>
    <t>End</t>
  </si>
  <si>
    <t>Total Return</t>
  </si>
  <si>
    <t>Charge</t>
  </si>
  <si>
    <t>Service Tax</t>
  </si>
  <si>
    <t>Fund Value - Beginning</t>
  </si>
  <si>
    <t>Fund Value - End</t>
  </si>
  <si>
    <t>Fixed Income</t>
  </si>
  <si>
    <t>Discounting</t>
  </si>
  <si>
    <t>Discount Rate</t>
  </si>
  <si>
    <t>Fund required for Retirement</t>
  </si>
  <si>
    <t>Overll Return</t>
  </si>
  <si>
    <t>Additional Investment</t>
  </si>
  <si>
    <t>Return</t>
  </si>
  <si>
    <t>Fund Value at end before charge</t>
  </si>
  <si>
    <t>Force of interest</t>
  </si>
  <si>
    <t xml:space="preserve">Answer </t>
  </si>
  <si>
    <t>Inflation</t>
  </si>
  <si>
    <t>Growth Rate</t>
  </si>
  <si>
    <t>As provided in question</t>
  </si>
  <si>
    <t>Equivalent monthly rate</t>
  </si>
  <si>
    <t>Accumulation rate</t>
  </si>
  <si>
    <t>0.5 mark</t>
  </si>
  <si>
    <t>Answers:</t>
  </si>
  <si>
    <t>Marks for each line</t>
  </si>
  <si>
    <t>From part (i)</t>
  </si>
  <si>
    <t>Debt for 5 stores</t>
  </si>
  <si>
    <t>1 mark</t>
  </si>
  <si>
    <t>Cost of running per month</t>
  </si>
  <si>
    <t>Revenue for first month</t>
  </si>
  <si>
    <t>Metric 1</t>
  </si>
  <si>
    <t>Metric 2</t>
  </si>
  <si>
    <t>Metric 3</t>
  </si>
  <si>
    <t>Metric 4</t>
  </si>
  <si>
    <t>Metric 5</t>
  </si>
  <si>
    <t>Goal seek calculation for IRR</t>
  </si>
  <si>
    <t>months</t>
  </si>
  <si>
    <t xml:space="preserve">Answers </t>
  </si>
  <si>
    <t>1 mark for correctly identifying all 5 metrics</t>
  </si>
  <si>
    <t>0.5 mark for annualising</t>
  </si>
  <si>
    <t>1 mark for copying from (ii) correctly</t>
  </si>
  <si>
    <t>Answer:</t>
  </si>
  <si>
    <t>No</t>
  </si>
  <si>
    <t>Board should not proceed with it</t>
  </si>
  <si>
    <t>IRR is 12.6% which is lower than the rate of 16% considered commensurate with riskiness of project</t>
  </si>
  <si>
    <t>2 marks</t>
  </si>
  <si>
    <t xml:space="preserve">Amount of debt </t>
  </si>
  <si>
    <t xml:space="preserve">Annuity factor </t>
  </si>
  <si>
    <t>Annual instalment</t>
  </si>
  <si>
    <t>Loan schedule:</t>
  </si>
  <si>
    <t>Time</t>
  </si>
  <si>
    <t>Interest paid</t>
  </si>
  <si>
    <t>Overall Return for fund</t>
  </si>
  <si>
    <t>today</t>
  </si>
  <si>
    <t>0.5 mark each</t>
  </si>
  <si>
    <t>1 mark each</t>
  </si>
  <si>
    <t>Answer</t>
  </si>
  <si>
    <t>1 mark for taking copy from part ii</t>
  </si>
  <si>
    <t>Force of interest for fund</t>
  </si>
  <si>
    <t>No additional payments needed</t>
  </si>
  <si>
    <t>Real yield</t>
  </si>
  <si>
    <t>Nominal rate</t>
  </si>
  <si>
    <t>Implied inflation</t>
  </si>
  <si>
    <t>Real yield derived using inflation and nominal yield</t>
  </si>
  <si>
    <t>Difference</t>
  </si>
  <si>
    <t>Calculated using goal seek</t>
  </si>
  <si>
    <t>4 marks</t>
  </si>
  <si>
    <t>Annual premium reduces when interest rate is increased</t>
  </si>
  <si>
    <t>This is because, as assets earn higher income, remaining costs can be met with lower premiums</t>
  </si>
  <si>
    <t>marks 0.5</t>
  </si>
  <si>
    <t>Death benefit</t>
  </si>
  <si>
    <t>Timing of cash flow</t>
  </si>
  <si>
    <t>Initial expense</t>
  </si>
  <si>
    <t>Regular expense</t>
  </si>
  <si>
    <t>Annual Premium</t>
  </si>
  <si>
    <t>Commission</t>
  </si>
  <si>
    <t>Amounts</t>
  </si>
  <si>
    <t>Probabilities</t>
  </si>
  <si>
    <t>Cash flow</t>
  </si>
  <si>
    <t>PV Initial expense</t>
  </si>
  <si>
    <t>PV regular expense</t>
  </si>
  <si>
    <t>PV premiums</t>
  </si>
  <si>
    <t>PV death benefit</t>
  </si>
  <si>
    <t>PV maturity benefit</t>
  </si>
  <si>
    <t>PV death expenses</t>
  </si>
  <si>
    <t>PV maturity expenses</t>
  </si>
  <si>
    <t>PV commission</t>
  </si>
  <si>
    <t>Interest rate</t>
  </si>
  <si>
    <t>incurred beginning of year</t>
  </si>
  <si>
    <t>incurred immediately</t>
  </si>
  <si>
    <t>Incurred at end</t>
  </si>
  <si>
    <t>By principle of equivalence</t>
  </si>
  <si>
    <t>Set premium such that this is nil</t>
  </si>
  <si>
    <t>Annual premium</t>
  </si>
  <si>
    <t>Calculate using goal seek</t>
  </si>
  <si>
    <t>&lt;--for copying over from (i) correctly</t>
  </si>
  <si>
    <t>1. last month missing death claim expense</t>
  </si>
  <si>
    <t>2. last month missing death claim cash flow</t>
  </si>
  <si>
    <t>3. death CF also needs to take into account number of policyholders alive at each stage</t>
  </si>
  <si>
    <t>Income less outgo</t>
  </si>
  <si>
    <t>Income less outgo (for part ii)</t>
  </si>
  <si>
    <t>Sum Assured</t>
  </si>
  <si>
    <t>NPV of income less outgo</t>
  </si>
  <si>
    <t>NPV of income less outgo (ii)</t>
  </si>
  <si>
    <t>Use goal seek so that difference below is reduced to 0</t>
  </si>
  <si>
    <t xml:space="preserve">The bonuses once declared becomes guarantee which can not be reduced later on, yet level of guaratee is lower in participating product </t>
  </si>
  <si>
    <t>hence higher benefit is payable for the same level of premium.</t>
  </si>
  <si>
    <t>Comments on results:</t>
  </si>
  <si>
    <t>Under non-participating product death benefit as well as maturity benefit Rs.788,743 is guaranteed through out the term of policy.</t>
  </si>
  <si>
    <t>Under participating product death benefit increases with passage of term. Maturity value for the par version is greater than non-participating product.</t>
  </si>
  <si>
    <t>Difference in maturity benefit is due to guarantees inherent in the non-participating product throughout the term resulting into lower maturity benefit.</t>
  </si>
  <si>
    <t>2 marks for comments</t>
  </si>
  <si>
    <t>1.5 mark</t>
  </si>
  <si>
    <t>New bonus on SA</t>
  </si>
  <si>
    <t>New bonus on Bonus</t>
  </si>
  <si>
    <t>Total accrued bonus</t>
  </si>
  <si>
    <t>Bonus rates</t>
  </si>
  <si>
    <t>Total new bonus</t>
  </si>
  <si>
    <t>&lt;---answer</t>
  </si>
  <si>
    <t>All calculations shown in lacs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</si>
</sst>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#,##0.0000"/>
    <numFmt numFmtId="168" formatCode="0.0000000000000000%"/>
    <numFmt numFmtId="169" formatCode="0.0%"/>
    <numFmt numFmtId="170" formatCode="_(* #,##0.0000_);_(* \(#,##0.0000\);_(* &quot;-&quot;??_);_(@_)"/>
    <numFmt numFmtId="171" formatCode="_(* #,##0.00000_);_(* \(#,##0.00000\);_(* &quot;-&quot;??_);_(@_)"/>
    <numFmt numFmtId="172" formatCode="_(* #,##0.0_);_(* \(#,##0.0\);_(* &quot;-&quot;?_);_(@_)"/>
  </numFmts>
  <fonts count="17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6"/>
      <color theme="1"/>
      <name val="Arial"/>
      <family val="2"/>
      <scheme val="minor"/>
    </font>
    <font>
      <b/>
      <sz val="11"/>
      <name val="Calibri"/>
      <family val="2"/>
    </font>
    <font>
      <b/>
      <sz val="9"/>
      <color rgb="FF202122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10"/>
      <color rgb="FF202122"/>
      <name val="Arial"/>
      <family val="2"/>
    </font>
    <font>
      <sz val="10"/>
      <color rgb="FF202122"/>
      <name val="Arial"/>
      <family val="2"/>
    </font>
    <font>
      <sz val="10"/>
      <color rgb="FF00B050"/>
      <name val="Arial"/>
      <family val="2"/>
      <scheme val="minor"/>
    </font>
    <font>
      <sz val="10"/>
      <color theme="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8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1C6F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9" fontId="0" fillId="0" borderId="0" xfId="0" applyNumberFormat="1"/>
    <xf numFmtId="10" fontId="0" fillId="0" borderId="0" xfId="0" applyNumberFormat="1" applyFont="1"/>
    <xf numFmtId="10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0" fillId="0" borderId="0" xfId="0" applyNumberFormat="1" applyFont="1"/>
    <xf numFmtId="166" fontId="0" fillId="0" borderId="0" xfId="0" applyNumberFormat="1" applyFont="1"/>
    <xf numFmtId="0" fontId="3" fillId="0" borderId="0" xfId="0" applyFont="1"/>
    <xf numFmtId="0" fontId="4" fillId="3" borderId="0" xfId="0" applyFont="1" applyFill="1"/>
    <xf numFmtId="0" fontId="0" fillId="3" borderId="0" xfId="0" applyFill="1"/>
    <xf numFmtId="0" fontId="0" fillId="0" borderId="1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7" fontId="0" fillId="0" borderId="2" xfId="0" applyNumberFormat="1" applyBorder="1"/>
    <xf numFmtId="167" fontId="0" fillId="0" borderId="0" xfId="0" applyNumberFormat="1"/>
    <xf numFmtId="0" fontId="5" fillId="5" borderId="2" xfId="0" applyFont="1" applyFill="1" applyBorder="1" applyAlignment="1">
      <alignment horizontal="center"/>
    </xf>
    <xf numFmtId="167" fontId="0" fillId="5" borderId="2" xfId="0" applyNumberFormat="1" applyFill="1" applyBorder="1"/>
    <xf numFmtId="167" fontId="0" fillId="5" borderId="0" xfId="0" applyNumberFormat="1" applyFill="1"/>
    <xf numFmtId="166" fontId="0" fillId="0" borderId="0" xfId="0" applyNumberFormat="1"/>
    <xf numFmtId="43" fontId="0" fillId="0" borderId="0" xfId="0" applyNumberFormat="1"/>
    <xf numFmtId="168" fontId="0" fillId="0" borderId="0" xfId="0" applyNumberFormat="1"/>
    <xf numFmtId="0" fontId="0" fillId="0" borderId="0" xfId="0" applyFont="1"/>
    <xf numFmtId="0" fontId="0" fillId="0" borderId="0" xfId="0" applyFont="1"/>
    <xf numFmtId="166" fontId="0" fillId="0" borderId="0" xfId="0" applyNumberFormat="1" applyFont="1"/>
    <xf numFmtId="1" fontId="0" fillId="0" borderId="2" xfId="0" applyNumberFormat="1" applyFont="1" applyBorder="1"/>
    <xf numFmtId="0" fontId="6" fillId="6" borderId="2" xfId="0" applyFont="1" applyFill="1" applyBorder="1" applyAlignment="1">
      <alignment vertical="center"/>
    </xf>
    <xf numFmtId="9" fontId="0" fillId="0" borderId="0" xfId="0" applyNumberFormat="1" applyFont="1"/>
    <xf numFmtId="10" fontId="0" fillId="2" borderId="0" xfId="0" applyNumberFormat="1" applyFont="1" applyFill="1"/>
    <xf numFmtId="166" fontId="0" fillId="2" borderId="0" xfId="0" applyNumberFormat="1" applyFont="1" applyFill="1"/>
    <xf numFmtId="0" fontId="0" fillId="7" borderId="0" xfId="0" applyFill="1"/>
    <xf numFmtId="0" fontId="2" fillId="0" borderId="0" xfId="0" applyFont="1"/>
    <xf numFmtId="10" fontId="0" fillId="4" borderId="3" xfId="0" applyNumberFormat="1" applyFont="1" applyFill="1" applyBorder="1"/>
    <xf numFmtId="10" fontId="0" fillId="4" borderId="4" xfId="0" applyNumberFormat="1" applyFont="1" applyFill="1" applyBorder="1"/>
    <xf numFmtId="10" fontId="0" fillId="4" borderId="5" xfId="0" applyNumberFormat="1" applyFont="1" applyFill="1" applyBorder="1"/>
    <xf numFmtId="165" fontId="3" fillId="0" borderId="0" xfId="0" applyNumberFormat="1" applyFont="1"/>
    <xf numFmtId="0" fontId="7" fillId="0" borderId="0" xfId="0" applyFont="1"/>
    <xf numFmtId="0" fontId="8" fillId="0" borderId="0" xfId="0" applyFont="1"/>
    <xf numFmtId="2" fontId="0" fillId="7" borderId="0" xfId="0" applyNumberFormat="1" applyFill="1"/>
    <xf numFmtId="164" fontId="0" fillId="7" borderId="0" xfId="0" applyNumberFormat="1" applyFill="1"/>
    <xf numFmtId="165" fontId="0" fillId="0" borderId="0" xfId="1" applyNumberFormat="1" applyFont="1"/>
    <xf numFmtId="166" fontId="0" fillId="0" borderId="0" xfId="1" applyNumberFormat="1" applyFont="1"/>
    <xf numFmtId="0" fontId="9" fillId="0" borderId="0" xfId="0" applyFont="1"/>
    <xf numFmtId="10" fontId="0" fillId="0" borderId="0" xfId="2" applyNumberFormat="1" applyFont="1"/>
    <xf numFmtId="0" fontId="0" fillId="4" borderId="6" xfId="0" applyFill="1" applyBorder="1"/>
    <xf numFmtId="0" fontId="0" fillId="4" borderId="7" xfId="0" applyFill="1" applyBorder="1"/>
    <xf numFmtId="165" fontId="0" fillId="4" borderId="7" xfId="0" applyNumberForma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0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165" fontId="0" fillId="4" borderId="12" xfId="0" applyNumberFormat="1" applyFill="1" applyBorder="1"/>
    <xf numFmtId="0" fontId="0" fillId="4" borderId="13" xfId="0" applyFill="1" applyBorder="1"/>
    <xf numFmtId="170" fontId="9" fillId="0" borderId="0" xfId="0" applyNumberFormat="1" applyFont="1"/>
    <xf numFmtId="166" fontId="9" fillId="0" borderId="0" xfId="0" applyNumberFormat="1" applyFont="1"/>
    <xf numFmtId="10" fontId="0" fillId="4" borderId="0" xfId="2" applyNumberFormat="1" applyFont="1" applyFill="1" applyBorder="1"/>
    <xf numFmtId="166" fontId="0" fillId="0" borderId="2" xfId="1" applyNumberFormat="1" applyFont="1" applyBorder="1"/>
    <xf numFmtId="9" fontId="0" fillId="0" borderId="2" xfId="2" applyFont="1" applyBorder="1"/>
    <xf numFmtId="0" fontId="10" fillId="8" borderId="2" xfId="0" applyFont="1" applyFill="1" applyBorder="1" applyAlignment="1">
      <alignment vertical="center"/>
    </xf>
    <xf numFmtId="0" fontId="0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10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/>
    <xf numFmtId="10" fontId="13" fillId="0" borderId="0" xfId="2" applyNumberFormat="1" applyFont="1" applyFill="1" applyBorder="1"/>
    <xf numFmtId="169" fontId="0" fillId="0" borderId="2" xfId="2" applyNumberFormat="1" applyFont="1" applyBorder="1"/>
    <xf numFmtId="0" fontId="13" fillId="0" borderId="0" xfId="0" applyFont="1"/>
    <xf numFmtId="166" fontId="0" fillId="0" borderId="2" xfId="0" applyNumberFormat="1" applyFont="1" applyFill="1" applyBorder="1"/>
    <xf numFmtId="1" fontId="0" fillId="0" borderId="2" xfId="0" applyNumberFormat="1" applyFont="1" applyFill="1" applyBorder="1"/>
    <xf numFmtId="170" fontId="0" fillId="0" borderId="0" xfId="1" applyNumberFormat="1" applyFont="1"/>
    <xf numFmtId="171" fontId="0" fillId="0" borderId="0" xfId="1" applyNumberFormat="1" applyFont="1"/>
    <xf numFmtId="168" fontId="13" fillId="0" borderId="0" xfId="0" applyNumberFormat="1" applyFont="1"/>
    <xf numFmtId="0" fontId="14" fillId="9" borderId="0" xfId="0" applyFont="1" applyFill="1"/>
    <xf numFmtId="0" fontId="15" fillId="0" borderId="0" xfId="0" applyFont="1"/>
    <xf numFmtId="172" fontId="0" fillId="0" borderId="0" xfId="0" applyNumberFormat="1"/>
    <xf numFmtId="165" fontId="0" fillId="7" borderId="0" xfId="1" applyNumberFormat="1" applyFont="1" applyFill="1"/>
    <xf numFmtId="0" fontId="0" fillId="4" borderId="14" xfId="0" applyFill="1" applyBorder="1"/>
    <xf numFmtId="166" fontId="0" fillId="4" borderId="15" xfId="0" applyNumberFormat="1" applyFill="1" applyBorder="1"/>
    <xf numFmtId="0" fontId="0" fillId="0" borderId="9" xfId="0" applyBorder="1"/>
    <xf numFmtId="166" fontId="0" fillId="0" borderId="4" xfId="0" applyNumberFormat="1" applyFont="1" applyBorder="1"/>
    <xf numFmtId="166" fontId="0" fillId="0" borderId="5" xfId="0" applyNumberFormat="1" applyFont="1" applyBorder="1"/>
    <xf numFmtId="0" fontId="0" fillId="10" borderId="0" xfId="0" applyFill="1"/>
    <xf numFmtId="0" fontId="0" fillId="10" borderId="3" xfId="0" applyFill="1" applyBorder="1"/>
    <xf numFmtId="0" fontId="6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9" fillId="2" borderId="0" xfId="0" applyFont="1" applyFill="1"/>
    <xf numFmtId="14" fontId="0" fillId="0" borderId="2" xfId="0" applyNumberFormat="1" applyFont="1" applyBorder="1"/>
    <xf numFmtId="0" fontId="0" fillId="7" borderId="0" xfId="0" applyFill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Comma" xfId="1" builtinId="3"/>
    <cellStyle name="Normal" xfId="0" builtinId="0" customBuiltin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63666A"/>
      </a:dk2>
      <a:lt2>
        <a:srgbClr val="EEECE1"/>
      </a:lt2>
      <a:accent1>
        <a:srgbClr val="702082"/>
      </a:accent1>
      <a:accent2>
        <a:srgbClr val="FFB81C"/>
      </a:accent2>
      <a:accent3>
        <a:srgbClr val="00A0D2"/>
      </a:accent3>
      <a:accent4>
        <a:srgbClr val="C110A0"/>
      </a:accent4>
      <a:accent5>
        <a:srgbClr val="00C389"/>
      </a:accent5>
      <a:accent6>
        <a:srgbClr val="63666A"/>
      </a:accent6>
      <a:hlink>
        <a:srgbClr val="00A0D2"/>
      </a:hlink>
      <a:folHlink>
        <a:srgbClr val="63666A"/>
      </a:folHlink>
    </a:clrScheme>
    <a:fontScheme name="Office">
      <a:majorFont>
        <a:latin typeface="Arial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tabSelected="1" workbookViewId="0">
      <selection activeCell="A3" sqref="A3"/>
    </sheetView>
  </sheetViews>
  <sheetFormatPr defaultRowHeight="12.75" x14ac:dyDescent="0.2"/>
  <cols>
    <col min="2" max="2" width="17.85546875" customWidth="1"/>
    <col min="3" max="3" width="21.85546875" customWidth="1"/>
    <col min="4" max="4" width="23" customWidth="1"/>
  </cols>
  <sheetData>
    <row r="1" spans="2:5" ht="15" x14ac:dyDescent="0.25">
      <c r="D1" s="34" t="s">
        <v>83</v>
      </c>
    </row>
    <row r="2" spans="2:5" ht="13.5" thickBot="1" x14ac:dyDescent="0.25">
      <c r="C2" t="s">
        <v>79</v>
      </c>
      <c r="D2" t="s">
        <v>80</v>
      </c>
    </row>
    <row r="3" spans="2:5" ht="14.25" x14ac:dyDescent="0.2">
      <c r="B3" t="s">
        <v>2</v>
      </c>
      <c r="C3" s="3">
        <v>0.08</v>
      </c>
      <c r="D3" s="35">
        <f>(1+C3)^(1/12)-1</f>
        <v>6.4340301100034303E-3</v>
      </c>
      <c r="E3" s="11" t="s">
        <v>82</v>
      </c>
    </row>
    <row r="4" spans="2:5" ht="14.25" x14ac:dyDescent="0.2">
      <c r="B4" t="s">
        <v>77</v>
      </c>
      <c r="C4" s="3">
        <v>0.05</v>
      </c>
      <c r="D4" s="36">
        <f>(1+C4)^(1/12)-1</f>
        <v>4.0741237836483535E-3</v>
      </c>
      <c r="E4" s="11" t="s">
        <v>82</v>
      </c>
    </row>
    <row r="5" spans="2:5" ht="14.25" x14ac:dyDescent="0.2">
      <c r="B5" t="s">
        <v>78</v>
      </c>
      <c r="C5" s="3">
        <v>0.15</v>
      </c>
      <c r="D5" s="36">
        <f>(1+C5)^(1/12)-1</f>
        <v>1.171491691985338E-2</v>
      </c>
      <c r="E5" s="11" t="s">
        <v>82</v>
      </c>
    </row>
    <row r="6" spans="2:5" ht="15" thickBot="1" x14ac:dyDescent="0.25">
      <c r="B6" t="s">
        <v>81</v>
      </c>
      <c r="C6" s="3">
        <v>6.5000000000000002E-2</v>
      </c>
      <c r="D6" s="37">
        <f>(1+C6)^(1/12)-1</f>
        <v>5.2616942768477504E-3</v>
      </c>
      <c r="E6" s="11" t="s">
        <v>82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3"/>
  <sheetViews>
    <sheetView workbookViewId="0">
      <selection activeCell="I26" sqref="I26"/>
    </sheetView>
  </sheetViews>
  <sheetFormatPr defaultRowHeight="12.75" x14ac:dyDescent="0.2"/>
  <cols>
    <col min="4" max="4" width="11.42578125" customWidth="1"/>
    <col min="5" max="5" width="15.140625" bestFit="1" customWidth="1"/>
    <col min="6" max="6" width="17.7109375" bestFit="1" customWidth="1"/>
    <col min="7" max="7" width="17.7109375" customWidth="1"/>
    <col min="8" max="8" width="17.140625" bestFit="1" customWidth="1"/>
  </cols>
  <sheetData>
    <row r="1" spans="3:9" x14ac:dyDescent="0.2">
      <c r="E1" s="92" t="s">
        <v>87</v>
      </c>
      <c r="F1" s="92" t="s">
        <v>105</v>
      </c>
      <c r="G1" s="92" t="s">
        <v>87</v>
      </c>
      <c r="H1" s="92" t="s">
        <v>87</v>
      </c>
    </row>
    <row r="2" spans="3:9" ht="13.5" thickBot="1" x14ac:dyDescent="0.25">
      <c r="D2" t="s">
        <v>176</v>
      </c>
      <c r="E2" s="1">
        <v>0.03</v>
      </c>
      <c r="F2" s="1">
        <v>0.05</v>
      </c>
      <c r="G2" s="1"/>
    </row>
    <row r="3" spans="3:9" x14ac:dyDescent="0.2">
      <c r="D3" s="88" t="s">
        <v>47</v>
      </c>
      <c r="E3" s="88" t="s">
        <v>173</v>
      </c>
      <c r="F3" s="88" t="s">
        <v>174</v>
      </c>
      <c r="G3" s="88" t="s">
        <v>177</v>
      </c>
      <c r="H3" s="89" t="s">
        <v>175</v>
      </c>
      <c r="I3" t="s">
        <v>178</v>
      </c>
    </row>
    <row r="4" spans="3:9" x14ac:dyDescent="0.2">
      <c r="C4">
        <f>1</f>
        <v>1</v>
      </c>
      <c r="D4" s="27">
        <f>500000</f>
        <v>500000</v>
      </c>
      <c r="E4" s="27">
        <f>$E$2*D4</f>
        <v>15000</v>
      </c>
      <c r="F4" s="27">
        <v>0</v>
      </c>
      <c r="G4" s="27">
        <f>E4+F4</f>
        <v>15000</v>
      </c>
      <c r="H4" s="86">
        <f>G4</f>
        <v>15000</v>
      </c>
    </row>
    <row r="5" spans="3:9" x14ac:dyDescent="0.2">
      <c r="C5">
        <f>C4+1</f>
        <v>2</v>
      </c>
      <c r="D5" s="27">
        <f>D4</f>
        <v>500000</v>
      </c>
      <c r="E5" s="27">
        <f t="shared" ref="E5:E23" si="0">$E$2*D5</f>
        <v>15000</v>
      </c>
      <c r="F5" s="27">
        <f>H4*$F$2</f>
        <v>750</v>
      </c>
      <c r="G5" s="27">
        <f t="shared" ref="G5:G23" si="1">E5+F5</f>
        <v>15750</v>
      </c>
      <c r="H5" s="86">
        <f>H4+G5</f>
        <v>30750</v>
      </c>
    </row>
    <row r="6" spans="3:9" x14ac:dyDescent="0.2">
      <c r="C6">
        <f t="shared" ref="C6:C23" si="2">C5+1</f>
        <v>3</v>
      </c>
      <c r="D6" s="27">
        <f t="shared" ref="D6:D23" si="3">D5</f>
        <v>500000</v>
      </c>
      <c r="E6" s="27">
        <f t="shared" si="0"/>
        <v>15000</v>
      </c>
      <c r="F6" s="27">
        <f t="shared" ref="F6:F23" si="4">H5*$F$2</f>
        <v>1537.5</v>
      </c>
      <c r="G6" s="27">
        <f t="shared" si="1"/>
        <v>16537.5</v>
      </c>
      <c r="H6" s="86">
        <f t="shared" ref="H6:H23" si="5">H5+G6</f>
        <v>47287.5</v>
      </c>
    </row>
    <row r="7" spans="3:9" x14ac:dyDescent="0.2">
      <c r="C7">
        <f t="shared" si="2"/>
        <v>4</v>
      </c>
      <c r="D7" s="27">
        <f t="shared" si="3"/>
        <v>500000</v>
      </c>
      <c r="E7" s="27">
        <f t="shared" si="0"/>
        <v>15000</v>
      </c>
      <c r="F7" s="27">
        <f t="shared" si="4"/>
        <v>2364.375</v>
      </c>
      <c r="G7" s="27">
        <f t="shared" si="1"/>
        <v>17364.375</v>
      </c>
      <c r="H7" s="86">
        <f t="shared" si="5"/>
        <v>64651.875</v>
      </c>
    </row>
    <row r="8" spans="3:9" x14ac:dyDescent="0.2">
      <c r="C8">
        <f t="shared" si="2"/>
        <v>5</v>
      </c>
      <c r="D8" s="27">
        <f t="shared" si="3"/>
        <v>500000</v>
      </c>
      <c r="E8" s="27">
        <f t="shared" si="0"/>
        <v>15000</v>
      </c>
      <c r="F8" s="27">
        <f t="shared" si="4"/>
        <v>3232.59375</v>
      </c>
      <c r="G8" s="27">
        <f t="shared" si="1"/>
        <v>18232.59375</v>
      </c>
      <c r="H8" s="86">
        <f t="shared" si="5"/>
        <v>82884.46875</v>
      </c>
    </row>
    <row r="9" spans="3:9" x14ac:dyDescent="0.2">
      <c r="C9">
        <f t="shared" si="2"/>
        <v>6</v>
      </c>
      <c r="D9" s="27">
        <f t="shared" si="3"/>
        <v>500000</v>
      </c>
      <c r="E9" s="27">
        <f t="shared" si="0"/>
        <v>15000</v>
      </c>
      <c r="F9" s="27">
        <f t="shared" si="4"/>
        <v>4144.2234374999998</v>
      </c>
      <c r="G9" s="27">
        <f t="shared" si="1"/>
        <v>19144.223437500001</v>
      </c>
      <c r="H9" s="86">
        <f t="shared" si="5"/>
        <v>102028.6921875</v>
      </c>
    </row>
    <row r="10" spans="3:9" x14ac:dyDescent="0.2">
      <c r="C10">
        <f t="shared" si="2"/>
        <v>7</v>
      </c>
      <c r="D10" s="27">
        <f t="shared" si="3"/>
        <v>500000</v>
      </c>
      <c r="E10" s="27">
        <f t="shared" si="0"/>
        <v>15000</v>
      </c>
      <c r="F10" s="27">
        <f t="shared" si="4"/>
        <v>5101.434609375</v>
      </c>
      <c r="G10" s="27">
        <f t="shared" si="1"/>
        <v>20101.434609374999</v>
      </c>
      <c r="H10" s="86">
        <f t="shared" si="5"/>
        <v>122130.126796875</v>
      </c>
    </row>
    <row r="11" spans="3:9" x14ac:dyDescent="0.2">
      <c r="C11">
        <f t="shared" si="2"/>
        <v>8</v>
      </c>
      <c r="D11" s="27">
        <f t="shared" si="3"/>
        <v>500000</v>
      </c>
      <c r="E11" s="27">
        <f t="shared" si="0"/>
        <v>15000</v>
      </c>
      <c r="F11" s="27">
        <f t="shared" si="4"/>
        <v>6106.5063398437505</v>
      </c>
      <c r="G11" s="27">
        <f t="shared" si="1"/>
        <v>21106.506339843749</v>
      </c>
      <c r="H11" s="86">
        <f t="shared" si="5"/>
        <v>143236.63313671877</v>
      </c>
    </row>
    <row r="12" spans="3:9" x14ac:dyDescent="0.2">
      <c r="C12">
        <f t="shared" si="2"/>
        <v>9</v>
      </c>
      <c r="D12" s="27">
        <f t="shared" si="3"/>
        <v>500000</v>
      </c>
      <c r="E12" s="27">
        <f t="shared" si="0"/>
        <v>15000</v>
      </c>
      <c r="F12" s="27">
        <f t="shared" si="4"/>
        <v>7161.8316568359387</v>
      </c>
      <c r="G12" s="27">
        <f t="shared" si="1"/>
        <v>22161.831656835937</v>
      </c>
      <c r="H12" s="86">
        <f t="shared" si="5"/>
        <v>165398.46479355471</v>
      </c>
    </row>
    <row r="13" spans="3:9" x14ac:dyDescent="0.2">
      <c r="C13">
        <f t="shared" si="2"/>
        <v>10</v>
      </c>
      <c r="D13" s="27">
        <f t="shared" si="3"/>
        <v>500000</v>
      </c>
      <c r="E13" s="27">
        <f t="shared" si="0"/>
        <v>15000</v>
      </c>
      <c r="F13" s="27">
        <f t="shared" si="4"/>
        <v>8269.9232396777352</v>
      </c>
      <c r="G13" s="27">
        <f t="shared" si="1"/>
        <v>23269.923239677737</v>
      </c>
      <c r="H13" s="86">
        <f t="shared" si="5"/>
        <v>188668.38803323245</v>
      </c>
    </row>
    <row r="14" spans="3:9" x14ac:dyDescent="0.2">
      <c r="C14">
        <f t="shared" si="2"/>
        <v>11</v>
      </c>
      <c r="D14" s="27">
        <f t="shared" si="3"/>
        <v>500000</v>
      </c>
      <c r="E14" s="27">
        <f t="shared" si="0"/>
        <v>15000</v>
      </c>
      <c r="F14" s="27">
        <f t="shared" si="4"/>
        <v>9433.419401661622</v>
      </c>
      <c r="G14" s="27">
        <f t="shared" si="1"/>
        <v>24433.419401661624</v>
      </c>
      <c r="H14" s="86">
        <f t="shared" si="5"/>
        <v>213101.80743489409</v>
      </c>
    </row>
    <row r="15" spans="3:9" x14ac:dyDescent="0.2">
      <c r="C15">
        <f t="shared" si="2"/>
        <v>12</v>
      </c>
      <c r="D15" s="27">
        <f t="shared" si="3"/>
        <v>500000</v>
      </c>
      <c r="E15" s="27">
        <f t="shared" si="0"/>
        <v>15000</v>
      </c>
      <c r="F15" s="27">
        <f t="shared" si="4"/>
        <v>10655.090371744705</v>
      </c>
      <c r="G15" s="27">
        <f t="shared" si="1"/>
        <v>25655.090371744707</v>
      </c>
      <c r="H15" s="86">
        <f t="shared" si="5"/>
        <v>238756.89780663879</v>
      </c>
    </row>
    <row r="16" spans="3:9" x14ac:dyDescent="0.2">
      <c r="C16">
        <f t="shared" si="2"/>
        <v>13</v>
      </c>
      <c r="D16" s="27">
        <f t="shared" si="3"/>
        <v>500000</v>
      </c>
      <c r="E16" s="27">
        <f t="shared" si="0"/>
        <v>15000</v>
      </c>
      <c r="F16" s="27">
        <f t="shared" si="4"/>
        <v>11937.84489033194</v>
      </c>
      <c r="G16" s="27">
        <f t="shared" si="1"/>
        <v>26937.84489033194</v>
      </c>
      <c r="H16" s="86">
        <f t="shared" si="5"/>
        <v>265694.74269697076</v>
      </c>
    </row>
    <row r="17" spans="3:8" x14ac:dyDescent="0.2">
      <c r="C17">
        <f t="shared" si="2"/>
        <v>14</v>
      </c>
      <c r="D17" s="27">
        <f t="shared" si="3"/>
        <v>500000</v>
      </c>
      <c r="E17" s="27">
        <f t="shared" si="0"/>
        <v>15000</v>
      </c>
      <c r="F17" s="27">
        <f t="shared" si="4"/>
        <v>13284.737134848539</v>
      </c>
      <c r="G17" s="27">
        <f t="shared" si="1"/>
        <v>28284.737134848539</v>
      </c>
      <c r="H17" s="86">
        <f t="shared" si="5"/>
        <v>293979.47983181931</v>
      </c>
    </row>
    <row r="18" spans="3:8" x14ac:dyDescent="0.2">
      <c r="C18">
        <f t="shared" si="2"/>
        <v>15</v>
      </c>
      <c r="D18" s="27">
        <f t="shared" si="3"/>
        <v>500000</v>
      </c>
      <c r="E18" s="27">
        <f t="shared" si="0"/>
        <v>15000</v>
      </c>
      <c r="F18" s="27">
        <f t="shared" si="4"/>
        <v>14698.973991590967</v>
      </c>
      <c r="G18" s="27">
        <f t="shared" si="1"/>
        <v>29698.973991590967</v>
      </c>
      <c r="H18" s="86">
        <f t="shared" si="5"/>
        <v>323678.45382341027</v>
      </c>
    </row>
    <row r="19" spans="3:8" x14ac:dyDescent="0.2">
      <c r="C19">
        <f t="shared" si="2"/>
        <v>16</v>
      </c>
      <c r="D19" s="27">
        <f t="shared" si="3"/>
        <v>500000</v>
      </c>
      <c r="E19" s="27">
        <f t="shared" si="0"/>
        <v>15000</v>
      </c>
      <c r="F19" s="27">
        <f t="shared" si="4"/>
        <v>16183.922691170514</v>
      </c>
      <c r="G19" s="27">
        <f t="shared" si="1"/>
        <v>31183.922691170512</v>
      </c>
      <c r="H19" s="86">
        <f t="shared" si="5"/>
        <v>354862.3765145808</v>
      </c>
    </row>
    <row r="20" spans="3:8" x14ac:dyDescent="0.2">
      <c r="C20">
        <f t="shared" si="2"/>
        <v>17</v>
      </c>
      <c r="D20" s="27">
        <f t="shared" si="3"/>
        <v>500000</v>
      </c>
      <c r="E20" s="27">
        <f t="shared" si="0"/>
        <v>15000</v>
      </c>
      <c r="F20" s="27">
        <f t="shared" si="4"/>
        <v>17743.118825729041</v>
      </c>
      <c r="G20" s="27">
        <f t="shared" si="1"/>
        <v>32743.118825729041</v>
      </c>
      <c r="H20" s="86">
        <f t="shared" si="5"/>
        <v>387605.49534030986</v>
      </c>
    </row>
    <row r="21" spans="3:8" x14ac:dyDescent="0.2">
      <c r="C21">
        <f t="shared" si="2"/>
        <v>18</v>
      </c>
      <c r="D21" s="27">
        <f t="shared" si="3"/>
        <v>500000</v>
      </c>
      <c r="E21" s="27">
        <f t="shared" si="0"/>
        <v>15000</v>
      </c>
      <c r="F21" s="27">
        <f t="shared" si="4"/>
        <v>19380.274767015493</v>
      </c>
      <c r="G21" s="27">
        <f t="shared" si="1"/>
        <v>34380.274767015493</v>
      </c>
      <c r="H21" s="86">
        <f t="shared" si="5"/>
        <v>421985.77010732534</v>
      </c>
    </row>
    <row r="22" spans="3:8" x14ac:dyDescent="0.2">
      <c r="C22">
        <f t="shared" si="2"/>
        <v>19</v>
      </c>
      <c r="D22" s="27">
        <f t="shared" si="3"/>
        <v>500000</v>
      </c>
      <c r="E22" s="27">
        <f t="shared" si="0"/>
        <v>15000</v>
      </c>
      <c r="F22" s="27">
        <f t="shared" si="4"/>
        <v>21099.288505366269</v>
      </c>
      <c r="G22" s="27">
        <f t="shared" si="1"/>
        <v>36099.288505366269</v>
      </c>
      <c r="H22" s="86">
        <f t="shared" si="5"/>
        <v>458085.05861269159</v>
      </c>
    </row>
    <row r="23" spans="3:8" ht="13.5" thickBot="1" x14ac:dyDescent="0.25">
      <c r="C23">
        <f t="shared" si="2"/>
        <v>20</v>
      </c>
      <c r="D23" s="27">
        <f t="shared" si="3"/>
        <v>500000</v>
      </c>
      <c r="E23" s="27">
        <f t="shared" si="0"/>
        <v>15000</v>
      </c>
      <c r="F23" s="27">
        <f t="shared" si="4"/>
        <v>22904.252930634582</v>
      </c>
      <c r="G23" s="27">
        <f t="shared" si="1"/>
        <v>37904.252930634582</v>
      </c>
      <c r="H23" s="87">
        <f t="shared" si="5"/>
        <v>495989.31154332618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workbookViewId="0">
      <selection activeCell="D9" sqref="D9"/>
    </sheetView>
  </sheetViews>
  <sheetFormatPr defaultRowHeight="12.75" x14ac:dyDescent="0.2"/>
  <cols>
    <col min="1" max="1" width="16.140625" customWidth="1"/>
    <col min="2" max="2" width="13.42578125" customWidth="1"/>
    <col min="3" max="4" width="20" customWidth="1"/>
  </cols>
  <sheetData>
    <row r="3" spans="1:4" x14ac:dyDescent="0.2">
      <c r="A3" t="s">
        <v>121</v>
      </c>
      <c r="B3" t="s">
        <v>48</v>
      </c>
      <c r="C3" s="1">
        <v>0.05</v>
      </c>
    </row>
    <row r="4" spans="1:4" x14ac:dyDescent="0.2">
      <c r="A4" t="s">
        <v>120</v>
      </c>
      <c r="B4" t="s">
        <v>50</v>
      </c>
      <c r="C4" s="1">
        <v>0.02</v>
      </c>
    </row>
    <row r="5" spans="1:4" x14ac:dyDescent="0.2">
      <c r="A5" t="s">
        <v>122</v>
      </c>
      <c r="B5" t="s">
        <v>49</v>
      </c>
      <c r="C5" s="3">
        <v>2.9389264000000002E-2</v>
      </c>
      <c r="D5" t="s">
        <v>125</v>
      </c>
    </row>
    <row r="8" spans="1:4" x14ac:dyDescent="0.2">
      <c r="B8" t="s">
        <v>120</v>
      </c>
      <c r="C8" s="1">
        <f>C4</f>
        <v>0.02</v>
      </c>
    </row>
    <row r="9" spans="1:4" x14ac:dyDescent="0.2">
      <c r="B9" t="s">
        <v>123</v>
      </c>
      <c r="C9" s="24">
        <f>(C3-C5)/(1+C5)</f>
        <v>2.0022295472473473E-2</v>
      </c>
      <c r="D9" s="78" t="s">
        <v>126</v>
      </c>
    </row>
    <row r="10" spans="1:4" x14ac:dyDescent="0.2">
      <c r="B10" t="s">
        <v>124</v>
      </c>
      <c r="C10" s="76">
        <f>C8-C9</f>
        <v>-2.2295472473472105E-5</v>
      </c>
    </row>
    <row r="12" spans="1:4" x14ac:dyDescent="0.2">
      <c r="B12" t="s">
        <v>116</v>
      </c>
      <c r="C12" s="3">
        <f>C5</f>
        <v>2.9389264000000002E-2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opLeftCell="Q4" zoomScale="80" zoomScaleNormal="80" workbookViewId="0">
      <selection activeCell="AF21" sqref="AF21"/>
    </sheetView>
  </sheetViews>
  <sheetFormatPr defaultColWidth="8.85546875" defaultRowHeight="12.75" x14ac:dyDescent="0.2"/>
  <cols>
    <col min="3" max="4" width="11.140625" bestFit="1" customWidth="1"/>
    <col min="5" max="5" width="8.85546875" bestFit="1" customWidth="1"/>
    <col min="6" max="6" width="14.28515625" bestFit="1" customWidth="1"/>
    <col min="7" max="7" width="13.7109375" bestFit="1" customWidth="1"/>
    <col min="8" max="9" width="8.85546875" bestFit="1" customWidth="1"/>
    <col min="10" max="10" width="10.140625" bestFit="1" customWidth="1"/>
    <col min="12" max="12" width="12.42578125" bestFit="1" customWidth="1"/>
    <col min="13" max="13" width="11" bestFit="1" customWidth="1"/>
    <col min="14" max="14" width="8.5703125" bestFit="1" customWidth="1"/>
    <col min="15" max="15" width="9.5703125" bestFit="1" customWidth="1"/>
    <col min="27" max="27" width="15.42578125" bestFit="1" customWidth="1"/>
    <col min="28" max="28" width="24.5703125" bestFit="1" customWidth="1"/>
    <col min="31" max="31" width="24.28515625" bestFit="1" customWidth="1"/>
    <col min="32" max="32" width="13.28515625" bestFit="1" customWidth="1"/>
  </cols>
  <sheetData>
    <row r="1" spans="1:38" x14ac:dyDescent="0.2">
      <c r="AE1" t="s">
        <v>147</v>
      </c>
      <c r="AF1" s="1">
        <v>0.05</v>
      </c>
      <c r="AJ1" s="45"/>
    </row>
    <row r="2" spans="1:38" x14ac:dyDescent="0.2">
      <c r="AE2" t="s">
        <v>153</v>
      </c>
      <c r="AF2" s="22">
        <v>25716.387748284265</v>
      </c>
      <c r="AG2" t="s">
        <v>154</v>
      </c>
      <c r="AJ2" s="45"/>
    </row>
    <row r="3" spans="1:38" x14ac:dyDescent="0.2">
      <c r="B3" s="45"/>
      <c r="C3" s="45"/>
      <c r="D3" s="45"/>
      <c r="E3" s="45"/>
      <c r="F3" s="45"/>
      <c r="G3" s="45"/>
      <c r="H3" s="45"/>
      <c r="I3" s="45"/>
      <c r="J3" s="45"/>
      <c r="N3" s="45"/>
      <c r="O3" s="45"/>
      <c r="Q3" s="45"/>
      <c r="R3" s="45"/>
      <c r="S3" s="45"/>
      <c r="T3" s="45"/>
      <c r="U3" s="45"/>
      <c r="V3" s="92"/>
      <c r="W3" s="45"/>
      <c r="X3" s="45"/>
      <c r="AE3" t="s">
        <v>141</v>
      </c>
      <c r="AF3" s="22">
        <f>NPV($AF$1,S7:S27)*(1+$AF$1)</f>
        <v>330817.74703660369</v>
      </c>
      <c r="AG3" s="80" t="s">
        <v>148</v>
      </c>
      <c r="AJ3" s="45"/>
    </row>
    <row r="4" spans="1:38" x14ac:dyDescent="0.2">
      <c r="B4" t="s">
        <v>131</v>
      </c>
      <c r="C4" t="s">
        <v>35</v>
      </c>
      <c r="D4" t="s">
        <v>35</v>
      </c>
      <c r="E4" t="s">
        <v>34</v>
      </c>
      <c r="F4" t="s">
        <v>34</v>
      </c>
      <c r="G4" t="s">
        <v>34</v>
      </c>
      <c r="H4" t="s">
        <v>35</v>
      </c>
      <c r="I4" t="s">
        <v>39</v>
      </c>
      <c r="J4" t="s">
        <v>34</v>
      </c>
      <c r="Q4" s="22">
        <f>NPV(4%,Q8:Q27)+Q7</f>
        <v>850</v>
      </c>
      <c r="R4" s="22">
        <f t="shared" ref="R4:X4" si="0">NPV(4%,R8:R27)+R7</f>
        <v>1421.4459164753891</v>
      </c>
      <c r="S4" s="22">
        <f t="shared" si="0"/>
        <v>357000.50452334614</v>
      </c>
      <c r="T4" s="22">
        <f>(NPV(4%,T8:T27)+T7)*1.04^0.5</f>
        <v>34102.579641841272</v>
      </c>
      <c r="U4" s="22">
        <f t="shared" si="0"/>
        <v>330788.75098356087</v>
      </c>
      <c r="V4" s="22">
        <f>(NPV(4%,V8:V27)+V7)*1.04^0.5</f>
        <v>25.410263417668247</v>
      </c>
      <c r="W4" s="22">
        <f t="shared" si="0"/>
        <v>161.30106393114056</v>
      </c>
      <c r="X4" s="22">
        <f t="shared" si="0"/>
        <v>26850.760938066804</v>
      </c>
      <c r="AE4" t="s">
        <v>139</v>
      </c>
      <c r="AF4" s="22">
        <f>Q7</f>
        <v>850</v>
      </c>
      <c r="AJ4" s="45"/>
    </row>
    <row r="5" spans="1:38" x14ac:dyDescent="0.2">
      <c r="C5" s="94" t="s">
        <v>136</v>
      </c>
      <c r="D5" s="94"/>
      <c r="E5" s="94"/>
      <c r="F5" s="94"/>
      <c r="G5" s="94"/>
      <c r="H5" s="94"/>
      <c r="I5" s="94"/>
      <c r="J5" s="94"/>
      <c r="L5" s="94" t="s">
        <v>137</v>
      </c>
      <c r="M5" s="94"/>
      <c r="N5" s="94"/>
      <c r="O5" s="94"/>
      <c r="Q5" s="94" t="s">
        <v>138</v>
      </c>
      <c r="R5" s="94"/>
      <c r="S5" s="94"/>
      <c r="T5" s="94"/>
      <c r="U5" s="94"/>
      <c r="V5" s="94"/>
      <c r="W5" s="94"/>
      <c r="X5" s="94"/>
      <c r="Y5" s="94"/>
      <c r="AA5" s="45" t="s">
        <v>87</v>
      </c>
      <c r="AE5" t="s">
        <v>140</v>
      </c>
      <c r="AF5" s="22">
        <f>NPV($AF$1,R7:R27)*(1+$AF$1)</f>
        <v>1304.6018354680075</v>
      </c>
      <c r="AG5" s="80" t="s">
        <v>148</v>
      </c>
      <c r="AJ5" s="45"/>
    </row>
    <row r="6" spans="1:38" x14ac:dyDescent="0.2">
      <c r="B6" s="79" t="s">
        <v>30</v>
      </c>
      <c r="C6" s="79" t="s">
        <v>130</v>
      </c>
      <c r="D6" s="79" t="s">
        <v>31</v>
      </c>
      <c r="E6" s="79" t="s">
        <v>132</v>
      </c>
      <c r="F6" s="79" t="s">
        <v>133</v>
      </c>
      <c r="G6" s="79" t="s">
        <v>134</v>
      </c>
      <c r="H6" s="79" t="s">
        <v>37</v>
      </c>
      <c r="I6" s="79" t="s">
        <v>38</v>
      </c>
      <c r="J6" s="79" t="s">
        <v>135</v>
      </c>
      <c r="K6" s="79"/>
      <c r="L6" s="79" t="s">
        <v>41</v>
      </c>
      <c r="M6" s="79" t="s">
        <v>42</v>
      </c>
      <c r="N6" s="79" t="s">
        <v>43</v>
      </c>
      <c r="O6" s="79" t="s">
        <v>44</v>
      </c>
      <c r="P6" s="79"/>
      <c r="Q6" s="79" t="s">
        <v>32</v>
      </c>
      <c r="R6" s="79" t="s">
        <v>33</v>
      </c>
      <c r="S6" s="79" t="s">
        <v>36</v>
      </c>
      <c r="T6" s="79" t="s">
        <v>45</v>
      </c>
      <c r="U6" s="79" t="s">
        <v>46</v>
      </c>
      <c r="V6" s="79" t="s">
        <v>37</v>
      </c>
      <c r="W6" s="79" t="s">
        <v>38</v>
      </c>
      <c r="X6" s="79" t="s">
        <v>40</v>
      </c>
      <c r="Y6" s="79"/>
      <c r="AA6" s="79" t="s">
        <v>159</v>
      </c>
      <c r="AB6" s="79" t="s">
        <v>160</v>
      </c>
      <c r="AE6" t="s">
        <v>142</v>
      </c>
      <c r="AF6" s="22">
        <f>NPV(AF1,T8:T27)*(1+AF1)^0.5</f>
        <v>30350.224242983204</v>
      </c>
      <c r="AG6" s="80" t="s">
        <v>149</v>
      </c>
      <c r="AJ6" s="45"/>
    </row>
    <row r="7" spans="1:38" x14ac:dyDescent="0.2">
      <c r="A7">
        <v>0</v>
      </c>
      <c r="B7">
        <f>42</f>
        <v>42</v>
      </c>
      <c r="C7" s="82">
        <f>$AF$13</f>
        <v>788742.77253189008</v>
      </c>
      <c r="D7" s="82">
        <v>0</v>
      </c>
      <c r="E7" s="43">
        <v>850</v>
      </c>
      <c r="F7" s="43"/>
      <c r="G7" s="43">
        <f t="shared" ref="G7:G26" si="1">$AF$2</f>
        <v>25716.387748284265</v>
      </c>
      <c r="H7" s="43"/>
      <c r="I7" s="43"/>
      <c r="J7" s="43">
        <f>G7*0.4</f>
        <v>10286.555099313708</v>
      </c>
      <c r="L7" s="77">
        <f>'Q2 - Data'!F29/'Q2 - Data'!B29</f>
        <v>9.2200038984407322E-4</v>
      </c>
      <c r="M7" s="77">
        <v>1</v>
      </c>
      <c r="N7" s="77">
        <f>M7*L7</f>
        <v>9.2200038984407322E-4</v>
      </c>
      <c r="O7" s="77">
        <f>M7-N7</f>
        <v>0.99907799961015598</v>
      </c>
      <c r="Q7" s="27">
        <f>E7*M7</f>
        <v>850</v>
      </c>
      <c r="R7" s="27">
        <f>F7*M7</f>
        <v>0</v>
      </c>
      <c r="S7" s="27">
        <f>G7*M7</f>
        <v>25716.387748284265</v>
      </c>
      <c r="T7" s="27">
        <v>0</v>
      </c>
      <c r="U7" s="27">
        <f>O7*SUM(C7:D7)*(A7=20)</f>
        <v>0</v>
      </c>
      <c r="V7" s="9">
        <v>0</v>
      </c>
      <c r="W7" s="9">
        <f>O7*SUM(I7)*(A7=20)</f>
        <v>0</v>
      </c>
      <c r="X7" s="27">
        <f>J7*M7</f>
        <v>10286.555099313708</v>
      </c>
      <c r="AA7" s="22">
        <f>S7-SUM(Q7:R7,T7:X7)</f>
        <v>14579.832648970558</v>
      </c>
      <c r="AB7" s="22">
        <f>'Q2 (ii)'!S7-SUM('Q2 (ii)'!Q7:R7,'Q2 (ii)'!T7:X7)</f>
        <v>14579.832648970558</v>
      </c>
      <c r="AE7" t="s">
        <v>143</v>
      </c>
      <c r="AF7" s="22">
        <f>NPV($AF$1,U$8:U$27)</f>
        <v>273169.07798544515</v>
      </c>
      <c r="AG7" s="80" t="s">
        <v>150</v>
      </c>
      <c r="AJ7" s="45"/>
    </row>
    <row r="8" spans="1:38" x14ac:dyDescent="0.2">
      <c r="A8">
        <v>1</v>
      </c>
      <c r="B8">
        <f>B7+1</f>
        <v>43</v>
      </c>
      <c r="C8" s="82">
        <f t="shared" ref="C8:C27" si="2">$AF$13</f>
        <v>788742.77253189008</v>
      </c>
      <c r="D8" s="82">
        <v>0</v>
      </c>
      <c r="E8" s="43"/>
      <c r="F8" s="43">
        <f>100</f>
        <v>100</v>
      </c>
      <c r="G8" s="43">
        <f t="shared" si="1"/>
        <v>25716.387748284265</v>
      </c>
      <c r="H8" s="43">
        <f>500*(1+1.25%)^A8</f>
        <v>506.25</v>
      </c>
      <c r="I8" s="43">
        <f>300*(1+1.25%)^A8</f>
        <v>303.75</v>
      </c>
      <c r="J8" s="43">
        <f>G8*0.05</f>
        <v>1285.8193874142135</v>
      </c>
      <c r="L8" s="77">
        <f>'Q2 - Data'!G30/'Q2 - Data'!C30</f>
        <v>1.1500021642700986E-3</v>
      </c>
      <c r="M8" s="77">
        <f>O7</f>
        <v>0.99907799961015598</v>
      </c>
      <c r="N8" s="77">
        <f>M8*L8</f>
        <v>1.1489418618263201E-3</v>
      </c>
      <c r="O8" s="77">
        <f>M8-N8</f>
        <v>0.99792905774832963</v>
      </c>
      <c r="Q8" s="27">
        <f t="shared" ref="Q8:Q27" si="3">E8*M8</f>
        <v>0</v>
      </c>
      <c r="R8" s="27">
        <f t="shared" ref="R8:R26" si="4">F8*M8</f>
        <v>99.907799961015598</v>
      </c>
      <c r="S8" s="27">
        <f t="shared" ref="S8:S27" si="5">G8*M8</f>
        <v>25692.677228754968</v>
      </c>
      <c r="T8" s="27">
        <f>N7*SUM(C7:D7)</f>
        <v>727.22114376109778</v>
      </c>
      <c r="U8" s="27">
        <f t="shared" ref="U8:U27" si="6">O8*SUM(C8:D8)*(A8=20)</f>
        <v>0</v>
      </c>
      <c r="V8" s="9">
        <f>N7*H8</f>
        <v>0.46676269735856207</v>
      </c>
      <c r="W8" s="9">
        <f t="shared" ref="W8:W27" si="7">O8*SUM(I8)*(A8=20)</f>
        <v>0</v>
      </c>
      <c r="X8" s="27">
        <f t="shared" ref="X8:X27" si="8">J8*M8</f>
        <v>1284.6338614377485</v>
      </c>
      <c r="AA8" s="22">
        <f t="shared" ref="AA8:AA27" si="9">S8-SUM(Q8:R8,T8:X8)</f>
        <v>23580.447660897749</v>
      </c>
      <c r="AB8" s="22">
        <f>'Q2 (ii)'!S8-SUM('Q2 (ii)'!Q8:R8,'Q2 (ii)'!T8:X8)</f>
        <v>23846.668609736807</v>
      </c>
      <c r="AE8" t="s">
        <v>144</v>
      </c>
      <c r="AF8" s="22">
        <f>NPV($AF$1,V$8:V$27)*(1+AF1)^0.5</f>
        <v>22.534333411366053</v>
      </c>
      <c r="AG8" s="80" t="s">
        <v>149</v>
      </c>
      <c r="AJ8" s="45"/>
    </row>
    <row r="9" spans="1:38" x14ac:dyDescent="0.2">
      <c r="A9">
        <f>A8+1</f>
        <v>2</v>
      </c>
      <c r="B9">
        <f t="shared" ref="B9:B27" si="10">B8+1</f>
        <v>44</v>
      </c>
      <c r="C9" s="82">
        <f t="shared" si="2"/>
        <v>788742.77253189008</v>
      </c>
      <c r="D9" s="82">
        <v>0</v>
      </c>
      <c r="E9" s="43"/>
      <c r="F9" s="43">
        <f>F8*(1+1.25%)</f>
        <v>101.25</v>
      </c>
      <c r="G9" s="43">
        <f t="shared" si="1"/>
        <v>25716.387748284265</v>
      </c>
      <c r="H9" s="43">
        <f t="shared" ref="H9:H27" si="11">500*(1+1.25%)^A9</f>
        <v>512.578125</v>
      </c>
      <c r="I9" s="43">
        <f t="shared" ref="I9:I27" si="12">300*(1+1.25%)^A9</f>
        <v>307.546875</v>
      </c>
      <c r="J9" s="43">
        <f t="shared" ref="J9:J27" si="13">G9*0.05</f>
        <v>1285.8193874142135</v>
      </c>
      <c r="L9" s="77">
        <f>'Q2 - Data'!H31/'Q2 - Data'!D31</f>
        <v>1.3270000000000194E-3</v>
      </c>
      <c r="M9" s="77">
        <f t="shared" ref="M9:M27" si="14">O8</f>
        <v>0.99792905774832963</v>
      </c>
      <c r="N9" s="77">
        <f t="shared" ref="N9:N27" si="15">M9*L9</f>
        <v>1.3242518596320526E-3</v>
      </c>
      <c r="O9" s="77">
        <f t="shared" ref="O9:O27" si="16">M9-N9</f>
        <v>0.9966048058886976</v>
      </c>
      <c r="Q9" s="27">
        <f t="shared" si="3"/>
        <v>0</v>
      </c>
      <c r="R9" s="27">
        <f t="shared" si="4"/>
        <v>101.04031709701837</v>
      </c>
      <c r="S9" s="27">
        <f t="shared" si="5"/>
        <v>25663.130594336006</v>
      </c>
      <c r="T9" s="27">
        <f t="shared" ref="T9:T27" si="17">N8*SUM(C8:D8)</f>
        <v>906.21958957484344</v>
      </c>
      <c r="U9" s="27">
        <f t="shared" si="6"/>
        <v>0</v>
      </c>
      <c r="V9" s="9">
        <f t="shared" ref="V9:V27" si="18">N8*H9</f>
        <v>0.58892246526894421</v>
      </c>
      <c r="W9" s="9">
        <f t="shared" si="7"/>
        <v>0</v>
      </c>
      <c r="X9" s="27">
        <f t="shared" si="8"/>
        <v>1283.1565297168004</v>
      </c>
      <c r="AA9" s="22">
        <f t="shared" si="9"/>
        <v>23372.125235482075</v>
      </c>
      <c r="AB9" s="22">
        <f>'Q2 (ii)'!S9-SUM('Q2 (ii)'!Q9:R9,'Q2 (ii)'!T9:X9)</f>
        <v>23686.639766216362</v>
      </c>
      <c r="AE9" t="s">
        <v>145</v>
      </c>
      <c r="AF9" s="22">
        <f>NPV($AF$1,W$8:W$27)</f>
        <v>133.20423618132884</v>
      </c>
      <c r="AJ9" s="45"/>
    </row>
    <row r="10" spans="1:38" x14ac:dyDescent="0.2">
      <c r="A10">
        <f t="shared" ref="A10:A27" si="19">A9+1</f>
        <v>3</v>
      </c>
      <c r="B10">
        <f t="shared" si="10"/>
        <v>45</v>
      </c>
      <c r="C10" s="82">
        <f t="shared" si="2"/>
        <v>788742.77253189008</v>
      </c>
      <c r="D10" s="82">
        <v>0</v>
      </c>
      <c r="E10" s="43"/>
      <c r="F10" s="43">
        <f t="shared" ref="F10:F26" si="20">F9*(1+1.25%)</f>
        <v>102.515625</v>
      </c>
      <c r="G10" s="43">
        <f t="shared" si="1"/>
        <v>25716.387748284265</v>
      </c>
      <c r="H10" s="43">
        <f t="shared" si="11"/>
        <v>518.98535156249989</v>
      </c>
      <c r="I10" s="43">
        <f t="shared" si="12"/>
        <v>311.39121093749998</v>
      </c>
      <c r="J10" s="43">
        <f t="shared" si="13"/>
        <v>1285.8193874142135</v>
      </c>
      <c r="L10" s="77">
        <f>'Q2 - Data'!H32/'Q2 - Data'!D32</f>
        <v>1.4649999999999626E-3</v>
      </c>
      <c r="M10" s="77">
        <f t="shared" si="14"/>
        <v>0.9966048058886976</v>
      </c>
      <c r="N10" s="77">
        <f t="shared" si="15"/>
        <v>1.4600260406269047E-3</v>
      </c>
      <c r="O10" s="77">
        <f t="shared" si="16"/>
        <v>0.9951447798480707</v>
      </c>
      <c r="Q10" s="27">
        <f t="shared" si="3"/>
        <v>0</v>
      </c>
      <c r="R10" s="27">
        <f t="shared" si="4"/>
        <v>102.16756455368352</v>
      </c>
      <c r="S10" s="27">
        <f t="shared" si="5"/>
        <v>25629.075620037322</v>
      </c>
      <c r="T10" s="27">
        <f t="shared" si="17"/>
        <v>1044.4940832966965</v>
      </c>
      <c r="U10" s="27">
        <f t="shared" si="6"/>
        <v>0</v>
      </c>
      <c r="V10" s="9">
        <f t="shared" si="18"/>
        <v>0.68726731692843512</v>
      </c>
      <c r="W10" s="9">
        <f t="shared" si="7"/>
        <v>0</v>
      </c>
      <c r="X10" s="27">
        <f t="shared" si="8"/>
        <v>1281.4537810018662</v>
      </c>
      <c r="AA10" s="22">
        <f t="shared" si="9"/>
        <v>23200.272923868146</v>
      </c>
      <c r="AB10" s="22">
        <f>'Q2 (ii)'!S10-SUM('Q2 (ii)'!Q10:R10,'Q2 (ii)'!T10:X10)</f>
        <v>23542.913521559854</v>
      </c>
      <c r="AE10" t="s">
        <v>146</v>
      </c>
      <c r="AF10" s="22">
        <f>NPV($AF$1,X7:X27)*(1+$AF$1)</f>
        <v>25541.623063729679</v>
      </c>
      <c r="AJ10" s="45"/>
    </row>
    <row r="11" spans="1:38" x14ac:dyDescent="0.2">
      <c r="A11">
        <f t="shared" si="19"/>
        <v>4</v>
      </c>
      <c r="B11">
        <f t="shared" si="10"/>
        <v>46</v>
      </c>
      <c r="C11" s="82">
        <f t="shared" si="2"/>
        <v>788742.77253189008</v>
      </c>
      <c r="D11" s="82">
        <v>0</v>
      </c>
      <c r="E11" s="43"/>
      <c r="F11" s="43">
        <f t="shared" si="20"/>
        <v>103.7970703125</v>
      </c>
      <c r="G11" s="43">
        <f t="shared" si="1"/>
        <v>25716.387748284265</v>
      </c>
      <c r="H11" s="43">
        <f t="shared" si="11"/>
        <v>525.4726684570312</v>
      </c>
      <c r="I11" s="43">
        <f t="shared" si="12"/>
        <v>315.28360107421872</v>
      </c>
      <c r="J11" s="43">
        <f t="shared" si="13"/>
        <v>1285.8193874142135</v>
      </c>
      <c r="L11" s="77">
        <f>'Q2 - Data'!H33/'Q2 - Data'!D33</f>
        <v>1.6220000000000613E-3</v>
      </c>
      <c r="M11" s="77">
        <f t="shared" si="14"/>
        <v>0.9951447798480707</v>
      </c>
      <c r="N11" s="77">
        <f t="shared" si="15"/>
        <v>1.6141248329136317E-3</v>
      </c>
      <c r="O11" s="77">
        <f t="shared" si="16"/>
        <v>0.99353065501515703</v>
      </c>
      <c r="Q11" s="27">
        <f t="shared" si="3"/>
        <v>0</v>
      </c>
      <c r="R11" s="27">
        <f t="shared" si="4"/>
        <v>103.29311268500753</v>
      </c>
      <c r="S11" s="27">
        <f t="shared" si="5"/>
        <v>25591.529024253967</v>
      </c>
      <c r="T11" s="27">
        <f t="shared" si="17"/>
        <v>1151.5849872528229</v>
      </c>
      <c r="U11" s="27">
        <f t="shared" si="6"/>
        <v>0</v>
      </c>
      <c r="V11" s="9">
        <f t="shared" si="18"/>
        <v>0.76720377958497343</v>
      </c>
      <c r="W11" s="9">
        <f t="shared" si="7"/>
        <v>0</v>
      </c>
      <c r="X11" s="27">
        <f t="shared" si="8"/>
        <v>1279.5764512126987</v>
      </c>
      <c r="AA11" s="22">
        <f t="shared" si="9"/>
        <v>23056.307269323854</v>
      </c>
      <c r="AB11" s="22">
        <f>'Q2 (ii)'!S11-SUM('Q2 (ii)'!Q11:R11,'Q2 (ii)'!T11:X11)</f>
        <v>23412.178064435015</v>
      </c>
    </row>
    <row r="12" spans="1:38" x14ac:dyDescent="0.2">
      <c r="A12">
        <f t="shared" si="19"/>
        <v>5</v>
      </c>
      <c r="B12">
        <f t="shared" si="10"/>
        <v>47</v>
      </c>
      <c r="C12" s="82">
        <f t="shared" si="2"/>
        <v>788742.77253189008</v>
      </c>
      <c r="D12" s="82">
        <v>0</v>
      </c>
      <c r="E12" s="43"/>
      <c r="F12" s="43">
        <f t="shared" si="20"/>
        <v>105.09453369140624</v>
      </c>
      <c r="G12" s="43">
        <f t="shared" si="1"/>
        <v>25716.387748284265</v>
      </c>
      <c r="H12" s="43">
        <f t="shared" si="11"/>
        <v>532.041076812744</v>
      </c>
      <c r="I12" s="43">
        <f t="shared" si="12"/>
        <v>319.22464608764642</v>
      </c>
      <c r="J12" s="43">
        <f t="shared" si="13"/>
        <v>1285.8193874142135</v>
      </c>
      <c r="L12" s="77">
        <f>'Q2 - Data'!H34/'Q2 - Data'!D34</f>
        <v>1.8019999999999542E-3</v>
      </c>
      <c r="M12" s="77">
        <f t="shared" si="14"/>
        <v>0.99353065501515703</v>
      </c>
      <c r="N12" s="77">
        <f t="shared" si="15"/>
        <v>1.7903422403372676E-3</v>
      </c>
      <c r="O12" s="77">
        <f t="shared" si="16"/>
        <v>0.99174031277481978</v>
      </c>
      <c r="Q12" s="27">
        <f t="shared" si="3"/>
        <v>0</v>
      </c>
      <c r="R12" s="27">
        <f t="shared" si="4"/>
        <v>104.41464089693532</v>
      </c>
      <c r="S12" s="27">
        <f t="shared" si="5"/>
        <v>25550.019564176626</v>
      </c>
      <c r="T12" s="27">
        <f t="shared" si="17"/>
        <v>1273.1292959248717</v>
      </c>
      <c r="U12" s="27">
        <f t="shared" si="6"/>
        <v>0</v>
      </c>
      <c r="V12" s="9">
        <f t="shared" si="18"/>
        <v>0.85878071421355906</v>
      </c>
      <c r="W12" s="9">
        <f t="shared" si="7"/>
        <v>0</v>
      </c>
      <c r="X12" s="27">
        <f t="shared" si="8"/>
        <v>1277.5009782088314</v>
      </c>
      <c r="AA12" s="22">
        <f t="shared" si="9"/>
        <v>22894.115868431774</v>
      </c>
      <c r="AB12" s="22">
        <f>'Q2 (ii)'!S12-SUM('Q2 (ii)'!Q12:R12,'Q2 (ii)'!T12:X12)</f>
        <v>23263.335257925013</v>
      </c>
    </row>
    <row r="13" spans="1:38" x14ac:dyDescent="0.2">
      <c r="A13">
        <f t="shared" si="19"/>
        <v>6</v>
      </c>
      <c r="B13">
        <f t="shared" si="10"/>
        <v>48</v>
      </c>
      <c r="C13" s="82">
        <f t="shared" si="2"/>
        <v>788742.77253189008</v>
      </c>
      <c r="D13" s="82">
        <v>0</v>
      </c>
      <c r="E13" s="43"/>
      <c r="F13" s="43">
        <f t="shared" si="20"/>
        <v>106.40821536254882</v>
      </c>
      <c r="G13" s="43">
        <f t="shared" si="1"/>
        <v>25716.387748284265</v>
      </c>
      <c r="H13" s="43">
        <f t="shared" si="11"/>
        <v>538.69159027290334</v>
      </c>
      <c r="I13" s="43">
        <f t="shared" si="12"/>
        <v>323.21495416374199</v>
      </c>
      <c r="J13" s="43">
        <f t="shared" si="13"/>
        <v>1285.8193874142135</v>
      </c>
      <c r="L13" s="77">
        <f>'Q2 - Data'!H35/'Q2 - Data'!D35</f>
        <v>2.0079999999999599E-3</v>
      </c>
      <c r="M13" s="77">
        <f t="shared" si="14"/>
        <v>0.99174031277481978</v>
      </c>
      <c r="N13" s="77">
        <f t="shared" si="15"/>
        <v>1.9914145480517983E-3</v>
      </c>
      <c r="O13" s="77">
        <f t="shared" si="16"/>
        <v>0.98974889822676793</v>
      </c>
      <c r="Q13" s="27">
        <f t="shared" si="3"/>
        <v>0</v>
      </c>
      <c r="R13" s="27">
        <f t="shared" si="4"/>
        <v>105.52931678546454</v>
      </c>
      <c r="S13" s="27">
        <f t="shared" si="5"/>
        <v>25503.978428921982</v>
      </c>
      <c r="T13" s="27">
        <f t="shared" si="17"/>
        <v>1412.1195024245719</v>
      </c>
      <c r="U13" s="27">
        <f t="shared" si="6"/>
        <v>0</v>
      </c>
      <c r="V13" s="9">
        <f t="shared" si="18"/>
        <v>0.96444230858003521</v>
      </c>
      <c r="W13" s="9">
        <f t="shared" si="7"/>
        <v>0</v>
      </c>
      <c r="X13" s="27">
        <f t="shared" si="8"/>
        <v>1275.1989214460991</v>
      </c>
      <c r="AA13" s="22">
        <f t="shared" si="9"/>
        <v>22710.166245957265</v>
      </c>
      <c r="AB13" s="22">
        <f>'Q2 (ii)'!S13-SUM('Q2 (ii)'!Q13:R13,'Q2 (ii)'!T13:X13)</f>
        <v>23092.83896018791</v>
      </c>
      <c r="AE13" t="s">
        <v>161</v>
      </c>
      <c r="AF13" s="22">
        <v>788742.77253189008</v>
      </c>
      <c r="AG13" s="80" t="s">
        <v>164</v>
      </c>
      <c r="AJ13" s="45"/>
      <c r="AL13" s="45" t="s">
        <v>87</v>
      </c>
    </row>
    <row r="14" spans="1:38" x14ac:dyDescent="0.2">
      <c r="A14">
        <f t="shared" si="19"/>
        <v>7</v>
      </c>
      <c r="B14">
        <f t="shared" si="10"/>
        <v>49</v>
      </c>
      <c r="C14" s="82">
        <f t="shared" si="2"/>
        <v>788742.77253189008</v>
      </c>
      <c r="D14" s="82">
        <v>0</v>
      </c>
      <c r="E14" s="43"/>
      <c r="F14" s="43">
        <f t="shared" si="20"/>
        <v>107.73831805458067</v>
      </c>
      <c r="G14" s="43">
        <f t="shared" si="1"/>
        <v>25716.387748284265</v>
      </c>
      <c r="H14" s="43">
        <f t="shared" si="11"/>
        <v>545.42523515131461</v>
      </c>
      <c r="I14" s="43">
        <f t="shared" si="12"/>
        <v>327.25514109078875</v>
      </c>
      <c r="J14" s="43">
        <f t="shared" si="13"/>
        <v>1285.8193874142135</v>
      </c>
      <c r="L14" s="77">
        <f>'Q2 - Data'!H36/'Q2 - Data'!D36</f>
        <v>2.2410000000001075E-3</v>
      </c>
      <c r="M14" s="77">
        <f t="shared" si="14"/>
        <v>0.98974889822676793</v>
      </c>
      <c r="N14" s="77">
        <f t="shared" si="15"/>
        <v>2.2180272809262931E-3</v>
      </c>
      <c r="O14" s="77">
        <f t="shared" si="16"/>
        <v>0.98753087094584169</v>
      </c>
      <c r="Q14" s="27">
        <f t="shared" si="3"/>
        <v>0</v>
      </c>
      <c r="R14" s="27">
        <f t="shared" si="4"/>
        <v>106.63388159132631</v>
      </c>
      <c r="S14" s="27">
        <f t="shared" si="5"/>
        <v>25452.766440236705</v>
      </c>
      <c r="T14" s="27">
        <f t="shared" si="17"/>
        <v>1570.7138318907162</v>
      </c>
      <c r="U14" s="27">
        <f t="shared" si="6"/>
        <v>0</v>
      </c>
      <c r="V14" s="9">
        <f t="shared" si="18"/>
        <v>1.086167748154901</v>
      </c>
      <c r="W14" s="9">
        <f t="shared" si="7"/>
        <v>0</v>
      </c>
      <c r="X14" s="27">
        <f t="shared" si="8"/>
        <v>1272.6383220118355</v>
      </c>
      <c r="AA14" s="22">
        <f t="shared" si="9"/>
        <v>22501.69423699467</v>
      </c>
      <c r="AB14" s="22">
        <f>'Q2 (ii)'!S14-SUM('Q2 (ii)'!Q14:R14,'Q2 (ii)'!T14:X14)</f>
        <v>22897.473485534829</v>
      </c>
      <c r="AE14" t="s">
        <v>162</v>
      </c>
      <c r="AF14" s="23">
        <f>NPV(4%,AA8:AA27)+AA7</f>
        <v>-36537.001779959668</v>
      </c>
      <c r="AJ14" s="45"/>
      <c r="AL14" s="45" t="s">
        <v>87</v>
      </c>
    </row>
    <row r="15" spans="1:38" x14ac:dyDescent="0.2">
      <c r="A15">
        <f t="shared" si="19"/>
        <v>8</v>
      </c>
      <c r="B15">
        <f t="shared" si="10"/>
        <v>50</v>
      </c>
      <c r="C15" s="82">
        <f t="shared" si="2"/>
        <v>788742.77253189008</v>
      </c>
      <c r="D15" s="82">
        <v>0</v>
      </c>
      <c r="E15" s="43"/>
      <c r="F15" s="43">
        <f t="shared" si="20"/>
        <v>109.08504703026293</v>
      </c>
      <c r="G15" s="43">
        <f t="shared" si="1"/>
        <v>25716.387748284265</v>
      </c>
      <c r="H15" s="43">
        <f t="shared" si="11"/>
        <v>552.24305059070616</v>
      </c>
      <c r="I15" s="43">
        <f t="shared" si="12"/>
        <v>331.34583035442364</v>
      </c>
      <c r="J15" s="43">
        <f t="shared" si="13"/>
        <v>1285.8193874142135</v>
      </c>
      <c r="L15" s="77">
        <f>'Q2 - Data'!H37/'Q2 - Data'!D37</f>
        <v>2.5079999999998615E-3</v>
      </c>
      <c r="M15" s="77">
        <f t="shared" si="14"/>
        <v>0.98753087094584169</v>
      </c>
      <c r="N15" s="77">
        <f t="shared" si="15"/>
        <v>2.4767274243320341E-3</v>
      </c>
      <c r="O15" s="77">
        <f t="shared" si="16"/>
        <v>0.98505414352150966</v>
      </c>
      <c r="Q15" s="27">
        <f t="shared" si="3"/>
        <v>0</v>
      </c>
      <c r="R15" s="27">
        <f t="shared" si="4"/>
        <v>107.72485150096365</v>
      </c>
      <c r="S15" s="27">
        <f t="shared" si="5"/>
        <v>25395.726790644134</v>
      </c>
      <c r="T15" s="27">
        <f t="shared" si="17"/>
        <v>1749.4529871091738</v>
      </c>
      <c r="U15" s="27">
        <f t="shared" si="6"/>
        <v>0</v>
      </c>
      <c r="V15" s="9">
        <f t="shared" si="18"/>
        <v>1.2248901519121453</v>
      </c>
      <c r="W15" s="9">
        <f t="shared" si="7"/>
        <v>0</v>
      </c>
      <c r="X15" s="27">
        <f t="shared" si="8"/>
        <v>1269.7863395322067</v>
      </c>
      <c r="AA15" s="22">
        <f t="shared" si="9"/>
        <v>22267.537722349876</v>
      </c>
      <c r="AB15" s="22">
        <f>'Q2 (ii)'!S15-SUM('Q2 (ii)'!Q15:R15,'Q2 (ii)'!T15:X15)</f>
        <v>22675.084204498642</v>
      </c>
      <c r="AE15" t="s">
        <v>163</v>
      </c>
      <c r="AF15" s="23">
        <f>NPV(4%,AB8:AB27)+AB7</f>
        <v>-36537.00177995961</v>
      </c>
      <c r="AL15" s="45" t="s">
        <v>87</v>
      </c>
    </row>
    <row r="16" spans="1:38" x14ac:dyDescent="0.2">
      <c r="A16">
        <f t="shared" si="19"/>
        <v>9</v>
      </c>
      <c r="B16">
        <f t="shared" si="10"/>
        <v>51</v>
      </c>
      <c r="C16" s="82">
        <f t="shared" si="2"/>
        <v>788742.77253189008</v>
      </c>
      <c r="D16" s="82">
        <v>0</v>
      </c>
      <c r="E16" s="43"/>
      <c r="F16" s="43">
        <f t="shared" si="20"/>
        <v>110.4486101181412</v>
      </c>
      <c r="G16" s="43">
        <f t="shared" si="1"/>
        <v>25716.387748284265</v>
      </c>
      <c r="H16" s="43">
        <f t="shared" si="11"/>
        <v>559.14608872308986</v>
      </c>
      <c r="I16" s="43">
        <f t="shared" si="12"/>
        <v>335.48765323385396</v>
      </c>
      <c r="J16" s="43">
        <f t="shared" si="13"/>
        <v>1285.8193874142135</v>
      </c>
      <c r="L16" s="77">
        <f>'Q2 - Data'!H38/'Q2 - Data'!D38</f>
        <v>2.8089999999999665E-3</v>
      </c>
      <c r="M16" s="77">
        <f t="shared" si="14"/>
        <v>0.98505414352150966</v>
      </c>
      <c r="N16" s="77">
        <f t="shared" si="15"/>
        <v>2.7670170891518878E-3</v>
      </c>
      <c r="O16" s="77">
        <f t="shared" si="16"/>
        <v>0.98228712643235783</v>
      </c>
      <c r="Q16" s="27">
        <f t="shared" si="3"/>
        <v>0</v>
      </c>
      <c r="R16" s="27">
        <f t="shared" si="4"/>
        <v>108.79786104306673</v>
      </c>
      <c r="S16" s="27">
        <f t="shared" si="5"/>
        <v>25332.034307853202</v>
      </c>
      <c r="T16" s="27">
        <f t="shared" si="17"/>
        <v>1953.5008554734156</v>
      </c>
      <c r="U16" s="27">
        <f t="shared" si="6"/>
        <v>0</v>
      </c>
      <c r="V16" s="9">
        <f t="shared" si="18"/>
        <v>1.3848524521484693</v>
      </c>
      <c r="W16" s="9">
        <f t="shared" si="7"/>
        <v>0</v>
      </c>
      <c r="X16" s="27">
        <f t="shared" si="8"/>
        <v>1266.6017153926603</v>
      </c>
      <c r="AA16" s="22">
        <f t="shared" si="9"/>
        <v>22001.74902349191</v>
      </c>
      <c r="AB16" s="22">
        <f>'Q2 (ii)'!S16-SUM('Q2 (ii)'!Q16:R16,'Q2 (ii)'!T16:X16)</f>
        <v>22419.678875879465</v>
      </c>
      <c r="AE16" t="s">
        <v>124</v>
      </c>
      <c r="AF16" s="23">
        <f>AF14-AF15</f>
        <v>-5.8207660913467407E-11</v>
      </c>
    </row>
    <row r="17" spans="1:32" ht="13.5" thickBot="1" x14ac:dyDescent="0.25">
      <c r="A17">
        <f t="shared" si="19"/>
        <v>10</v>
      </c>
      <c r="B17">
        <f t="shared" si="10"/>
        <v>52</v>
      </c>
      <c r="C17" s="82">
        <f t="shared" si="2"/>
        <v>788742.77253189008</v>
      </c>
      <c r="D17" s="82">
        <v>0</v>
      </c>
      <c r="E17" s="43"/>
      <c r="F17" s="43">
        <f t="shared" si="20"/>
        <v>111.82921774461796</v>
      </c>
      <c r="G17" s="43">
        <f t="shared" si="1"/>
        <v>25716.387748284265</v>
      </c>
      <c r="H17" s="43">
        <f t="shared" si="11"/>
        <v>566.13541483212862</v>
      </c>
      <c r="I17" s="43">
        <f t="shared" si="12"/>
        <v>339.68124889927714</v>
      </c>
      <c r="J17" s="43">
        <f t="shared" si="13"/>
        <v>1285.8193874142135</v>
      </c>
      <c r="L17" s="77">
        <f>'Q2 - Data'!H39/'Q2 - Data'!D39</f>
        <v>3.1519999999999829E-3</v>
      </c>
      <c r="M17" s="77">
        <f t="shared" si="14"/>
        <v>0.98228712643235783</v>
      </c>
      <c r="N17" s="77">
        <f t="shared" si="15"/>
        <v>3.0961690225147749E-3</v>
      </c>
      <c r="O17" s="77">
        <f t="shared" si="16"/>
        <v>0.97919095740984308</v>
      </c>
      <c r="Q17" s="27">
        <f t="shared" si="3"/>
        <v>0</v>
      </c>
      <c r="R17" s="27">
        <f t="shared" si="4"/>
        <v>109.84840094953923</v>
      </c>
      <c r="S17" s="27">
        <f t="shared" si="5"/>
        <v>25260.876623482443</v>
      </c>
      <c r="T17" s="27">
        <f t="shared" si="17"/>
        <v>2182.4647305407802</v>
      </c>
      <c r="U17" s="27">
        <f t="shared" si="6"/>
        <v>0</v>
      </c>
      <c r="V17" s="9">
        <f t="shared" si="18"/>
        <v>1.5665063676145929</v>
      </c>
      <c r="W17" s="9">
        <f t="shared" si="7"/>
        <v>0</v>
      </c>
      <c r="X17" s="27">
        <f t="shared" si="8"/>
        <v>1263.0438311741225</v>
      </c>
      <c r="AA17" s="22">
        <f t="shared" si="9"/>
        <v>21703.953154450388</v>
      </c>
      <c r="AB17" s="22">
        <f>'Q2 (ii)'!S17-SUM('Q2 (ii)'!Q17:R17,'Q2 (ii)'!T17:X17)</f>
        <v>22129.362033379719</v>
      </c>
    </row>
    <row r="18" spans="1:32" ht="13.5" thickBot="1" x14ac:dyDescent="0.25">
      <c r="A18">
        <f t="shared" si="19"/>
        <v>11</v>
      </c>
      <c r="B18">
        <f t="shared" si="10"/>
        <v>53</v>
      </c>
      <c r="C18" s="82">
        <f t="shared" si="2"/>
        <v>788742.77253189008</v>
      </c>
      <c r="D18" s="82">
        <v>0</v>
      </c>
      <c r="E18" s="43"/>
      <c r="F18" s="43">
        <f t="shared" si="20"/>
        <v>113.22708296642568</v>
      </c>
      <c r="G18" s="43">
        <f t="shared" si="1"/>
        <v>25716.387748284265</v>
      </c>
      <c r="H18" s="43">
        <f t="shared" si="11"/>
        <v>573.21210751753006</v>
      </c>
      <c r="I18" s="43">
        <f t="shared" si="12"/>
        <v>343.927264510518</v>
      </c>
      <c r="J18" s="43">
        <f t="shared" si="13"/>
        <v>1285.8193874142135</v>
      </c>
      <c r="L18" s="77">
        <f>'Q2 - Data'!H40/'Q2 - Data'!D40</f>
        <v>3.5389999999999042E-3</v>
      </c>
      <c r="M18" s="77">
        <f t="shared" si="14"/>
        <v>0.97919095740984308</v>
      </c>
      <c r="N18" s="77">
        <f t="shared" si="15"/>
        <v>3.4653567982733408E-3</v>
      </c>
      <c r="O18" s="77">
        <f t="shared" si="16"/>
        <v>0.97572560061156977</v>
      </c>
      <c r="Q18" s="27">
        <f t="shared" si="3"/>
        <v>0</v>
      </c>
      <c r="R18" s="27">
        <f t="shared" si="4"/>
        <v>110.8709357746181</v>
      </c>
      <c r="S18" s="27">
        <f t="shared" si="5"/>
        <v>25181.254340365227</v>
      </c>
      <c r="T18" s="27">
        <f t="shared" si="17"/>
        <v>2442.0809390456557</v>
      </c>
      <c r="U18" s="27">
        <f t="shared" si="6"/>
        <v>0</v>
      </c>
      <c r="V18" s="9">
        <f t="shared" si="18"/>
        <v>1.7747615706261852</v>
      </c>
      <c r="W18" s="9">
        <f t="shared" si="7"/>
        <v>0</v>
      </c>
      <c r="X18" s="27">
        <f t="shared" si="8"/>
        <v>1259.0627170182615</v>
      </c>
      <c r="AA18" s="22">
        <f t="shared" si="9"/>
        <v>21367.464986956067</v>
      </c>
      <c r="AB18" s="22">
        <f>'Q2 (ii)'!S18-SUM('Q2 (ii)'!Q18:R18,'Q2 (ii)'!T18:X18)</f>
        <v>21797.036061367118</v>
      </c>
      <c r="AE18" s="83" t="s">
        <v>101</v>
      </c>
      <c r="AF18" s="84">
        <f>AF13</f>
        <v>788742.77253189008</v>
      </c>
    </row>
    <row r="19" spans="1:32" x14ac:dyDescent="0.2">
      <c r="A19">
        <f t="shared" si="19"/>
        <v>12</v>
      </c>
      <c r="B19">
        <f t="shared" si="10"/>
        <v>54</v>
      </c>
      <c r="C19" s="82">
        <f t="shared" si="2"/>
        <v>788742.77253189008</v>
      </c>
      <c r="D19" s="82">
        <v>0</v>
      </c>
      <c r="E19" s="43"/>
      <c r="F19" s="43">
        <f t="shared" si="20"/>
        <v>114.642421503506</v>
      </c>
      <c r="G19" s="43">
        <f t="shared" si="1"/>
        <v>25716.387748284265</v>
      </c>
      <c r="H19" s="43">
        <f t="shared" si="11"/>
        <v>580.37725886149929</v>
      </c>
      <c r="I19" s="43">
        <f t="shared" si="12"/>
        <v>348.22635531689957</v>
      </c>
      <c r="J19" s="43">
        <f t="shared" si="13"/>
        <v>1285.8193874142135</v>
      </c>
      <c r="L19" s="77">
        <f>'Q2 - Data'!H41/'Q2 - Data'!D41</f>
        <v>3.9760000000000177E-3</v>
      </c>
      <c r="M19" s="77">
        <f t="shared" si="14"/>
        <v>0.97572560061156977</v>
      </c>
      <c r="N19" s="77">
        <f t="shared" si="15"/>
        <v>3.8794849880316186E-3</v>
      </c>
      <c r="O19" s="77">
        <f t="shared" si="16"/>
        <v>0.97184611562353818</v>
      </c>
      <c r="Q19" s="27">
        <f t="shared" si="3"/>
        <v>0</v>
      </c>
      <c r="R19" s="27">
        <f t="shared" si="4"/>
        <v>111.85954557707313</v>
      </c>
      <c r="S19" s="27">
        <f t="shared" si="5"/>
        <v>25092.137881254679</v>
      </c>
      <c r="T19" s="27">
        <f t="shared" si="17"/>
        <v>2733.2751288823483</v>
      </c>
      <c r="U19" s="27">
        <f t="shared" si="6"/>
        <v>0</v>
      </c>
      <c r="V19" s="9">
        <f t="shared" si="18"/>
        <v>2.0112142795589429</v>
      </c>
      <c r="W19" s="9">
        <f t="shared" si="7"/>
        <v>0</v>
      </c>
      <c r="X19" s="27">
        <f t="shared" si="8"/>
        <v>1254.6068940627342</v>
      </c>
      <c r="AA19" s="22">
        <f t="shared" si="9"/>
        <v>20990.385098452964</v>
      </c>
      <c r="AB19" s="22">
        <f>'Q2 (ii)'!S19-SUM('Q2 (ii)'!Q19:R19,'Q2 (ii)'!T19:X19)</f>
        <v>21419.197956483542</v>
      </c>
    </row>
    <row r="20" spans="1:32" x14ac:dyDescent="0.2">
      <c r="A20">
        <f t="shared" si="19"/>
        <v>13</v>
      </c>
      <c r="B20">
        <f t="shared" si="10"/>
        <v>55</v>
      </c>
      <c r="C20" s="82">
        <f t="shared" si="2"/>
        <v>788742.77253189008</v>
      </c>
      <c r="D20" s="82">
        <v>0</v>
      </c>
      <c r="E20" s="43"/>
      <c r="F20" s="43">
        <f t="shared" si="20"/>
        <v>116.07545177229981</v>
      </c>
      <c r="G20" s="43">
        <f t="shared" si="1"/>
        <v>25716.387748284265</v>
      </c>
      <c r="H20" s="43">
        <f t="shared" si="11"/>
        <v>587.63197459726791</v>
      </c>
      <c r="I20" s="43">
        <f t="shared" si="12"/>
        <v>352.57918475836073</v>
      </c>
      <c r="J20" s="43">
        <f t="shared" si="13"/>
        <v>1285.8193874142135</v>
      </c>
      <c r="L20" s="77">
        <f>'Q2 - Data'!H42/'Q2 - Data'!D42</f>
        <v>4.4690000000000294E-3</v>
      </c>
      <c r="M20" s="77">
        <f t="shared" si="14"/>
        <v>0.97184611562353818</v>
      </c>
      <c r="N20" s="77">
        <f t="shared" si="15"/>
        <v>4.3431802907216207E-3</v>
      </c>
      <c r="O20" s="77">
        <f t="shared" si="16"/>
        <v>0.9675029353328165</v>
      </c>
      <c r="Q20" s="27">
        <f t="shared" si="3"/>
        <v>0</v>
      </c>
      <c r="R20" s="27">
        <f t="shared" si="4"/>
        <v>112.80747692415692</v>
      </c>
      <c r="S20" s="27">
        <f t="shared" si="5"/>
        <v>24992.37154103881</v>
      </c>
      <c r="T20" s="27">
        <f t="shared" si="17"/>
        <v>3059.9157454559054</v>
      </c>
      <c r="U20" s="27">
        <f t="shared" si="6"/>
        <v>0</v>
      </c>
      <c r="V20" s="9">
        <f t="shared" si="18"/>
        <v>2.2797094239374784</v>
      </c>
      <c r="W20" s="9">
        <f t="shared" si="7"/>
        <v>0</v>
      </c>
      <c r="X20" s="27">
        <f t="shared" si="8"/>
        <v>1249.6185770519407</v>
      </c>
      <c r="AA20" s="22">
        <f t="shared" si="9"/>
        <v>20567.75003218287</v>
      </c>
      <c r="AB20" s="22">
        <f>'Q2 (ii)'!S20-SUM('Q2 (ii)'!Q20:R20,'Q2 (ii)'!T20:X20)</f>
        <v>20989.615985777273</v>
      </c>
      <c r="AE20" s="39" t="s">
        <v>167</v>
      </c>
    </row>
    <row r="21" spans="1:32" x14ac:dyDescent="0.2">
      <c r="A21">
        <f t="shared" si="19"/>
        <v>14</v>
      </c>
      <c r="B21">
        <f t="shared" si="10"/>
        <v>56</v>
      </c>
      <c r="C21" s="82">
        <f t="shared" si="2"/>
        <v>788742.77253189008</v>
      </c>
      <c r="D21" s="82">
        <v>0</v>
      </c>
      <c r="E21" s="43"/>
      <c r="F21" s="43">
        <f t="shared" si="20"/>
        <v>117.52639491945355</v>
      </c>
      <c r="G21" s="43">
        <f t="shared" si="1"/>
        <v>25716.387748284265</v>
      </c>
      <c r="H21" s="43">
        <f t="shared" si="11"/>
        <v>594.97737427973379</v>
      </c>
      <c r="I21" s="43">
        <f t="shared" si="12"/>
        <v>356.98642456784029</v>
      </c>
      <c r="J21" s="43">
        <f t="shared" si="13"/>
        <v>1285.8193874142135</v>
      </c>
      <c r="L21" s="77">
        <f>'Q2 - Data'!H43/'Q2 - Data'!D43</f>
        <v>5.0249999999998846E-3</v>
      </c>
      <c r="M21" s="77">
        <f t="shared" si="14"/>
        <v>0.9675029353328165</v>
      </c>
      <c r="N21" s="77">
        <f t="shared" si="15"/>
        <v>4.8617022500472909E-3</v>
      </c>
      <c r="O21" s="77">
        <f t="shared" si="16"/>
        <v>0.96264123308276917</v>
      </c>
      <c r="Q21" s="27">
        <f t="shared" si="3"/>
        <v>0</v>
      </c>
      <c r="R21" s="27">
        <f t="shared" si="4"/>
        <v>113.70713206365512</v>
      </c>
      <c r="S21" s="27">
        <f t="shared" si="5"/>
        <v>24880.680632621905</v>
      </c>
      <c r="T21" s="27">
        <f t="shared" si="17"/>
        <v>3425.6520641096313</v>
      </c>
      <c r="U21" s="27">
        <f t="shared" si="6"/>
        <v>0</v>
      </c>
      <c r="V21" s="9">
        <f t="shared" si="18"/>
        <v>2.5840940053970409</v>
      </c>
      <c r="W21" s="9">
        <f t="shared" si="7"/>
        <v>0</v>
      </c>
      <c r="X21" s="27">
        <f t="shared" si="8"/>
        <v>1244.0340316310956</v>
      </c>
      <c r="AA21" s="22">
        <f t="shared" si="9"/>
        <v>20094.703310812125</v>
      </c>
      <c r="AB21" s="22">
        <f>'Q2 (ii)'!S21-SUM('Q2 (ii)'!Q21:R21,'Q2 (ii)'!T21:X21)</f>
        <v>20501.84507287023</v>
      </c>
      <c r="AE21" s="85">
        <v>1</v>
      </c>
      <c r="AF21" t="s">
        <v>168</v>
      </c>
    </row>
    <row r="22" spans="1:32" x14ac:dyDescent="0.2">
      <c r="A22">
        <f t="shared" si="19"/>
        <v>15</v>
      </c>
      <c r="B22">
        <f t="shared" si="10"/>
        <v>57</v>
      </c>
      <c r="C22" s="82">
        <f t="shared" si="2"/>
        <v>788742.77253189008</v>
      </c>
      <c r="D22" s="82">
        <v>0</v>
      </c>
      <c r="E22" s="43"/>
      <c r="F22" s="43">
        <f t="shared" si="20"/>
        <v>118.99547485594671</v>
      </c>
      <c r="G22" s="43">
        <f t="shared" si="1"/>
        <v>25716.387748284265</v>
      </c>
      <c r="H22" s="43">
        <f t="shared" si="11"/>
        <v>602.41459145823035</v>
      </c>
      <c r="I22" s="43">
        <f t="shared" si="12"/>
        <v>361.44875487493823</v>
      </c>
      <c r="J22" s="43">
        <f t="shared" si="13"/>
        <v>1285.8193874142135</v>
      </c>
      <c r="L22" s="77">
        <f>'Q2 - Data'!H44/'Q2 - Data'!D44</f>
        <v>5.6499999999999519E-3</v>
      </c>
      <c r="M22" s="77">
        <f t="shared" si="14"/>
        <v>0.96264123308276917</v>
      </c>
      <c r="N22" s="77">
        <f t="shared" si="15"/>
        <v>5.4389229669175995E-3</v>
      </c>
      <c r="O22" s="77">
        <f t="shared" si="16"/>
        <v>0.95720231011585155</v>
      </c>
      <c r="Q22" s="27">
        <f t="shared" si="3"/>
        <v>0</v>
      </c>
      <c r="R22" s="27">
        <f t="shared" si="4"/>
        <v>114.54995064659819</v>
      </c>
      <c r="S22" s="27">
        <f t="shared" si="5"/>
        <v>24755.655212442984</v>
      </c>
      <c r="T22" s="27">
        <f t="shared" si="17"/>
        <v>3834.6325119268286</v>
      </c>
      <c r="U22" s="27">
        <f t="shared" si="6"/>
        <v>0</v>
      </c>
      <c r="V22" s="9">
        <f t="shared" si="18"/>
        <v>2.9287603747537978</v>
      </c>
      <c r="W22" s="9">
        <f t="shared" si="7"/>
        <v>0</v>
      </c>
      <c r="X22" s="27">
        <f t="shared" si="8"/>
        <v>1237.7827606221492</v>
      </c>
      <c r="AA22" s="22">
        <f t="shared" si="9"/>
        <v>19565.761228872652</v>
      </c>
      <c r="AB22" s="22">
        <f>'Q2 (ii)'!S22-SUM('Q2 (ii)'!Q22:R22,'Q2 (ii)'!T22:X22)</f>
        <v>19948.585143265904</v>
      </c>
      <c r="AE22" s="85"/>
    </row>
    <row r="23" spans="1:32" x14ac:dyDescent="0.2">
      <c r="A23">
        <f t="shared" si="19"/>
        <v>16</v>
      </c>
      <c r="B23">
        <f t="shared" si="10"/>
        <v>58</v>
      </c>
      <c r="C23" s="82">
        <f t="shared" si="2"/>
        <v>788742.77253189008</v>
      </c>
      <c r="D23" s="82">
        <v>0</v>
      </c>
      <c r="E23" s="43"/>
      <c r="F23" s="43">
        <f t="shared" si="20"/>
        <v>120.48291829164604</v>
      </c>
      <c r="G23" s="43">
        <f t="shared" si="1"/>
        <v>25716.387748284265</v>
      </c>
      <c r="H23" s="43">
        <f t="shared" si="11"/>
        <v>609.94477385145842</v>
      </c>
      <c r="I23" s="43">
        <f t="shared" si="12"/>
        <v>365.96686431087505</v>
      </c>
      <c r="J23" s="43">
        <f t="shared" si="13"/>
        <v>1285.8193874142135</v>
      </c>
      <c r="L23" s="77">
        <f>'Q2 - Data'!H45/'Q2 - Data'!D45</f>
        <v>6.3520000000000633E-3</v>
      </c>
      <c r="M23" s="77">
        <f t="shared" si="14"/>
        <v>0.95720231011585155</v>
      </c>
      <c r="N23" s="77">
        <f t="shared" si="15"/>
        <v>6.08014907385595E-3</v>
      </c>
      <c r="O23" s="77">
        <f t="shared" si="16"/>
        <v>0.95112216104199565</v>
      </c>
      <c r="Q23" s="27">
        <f t="shared" si="3"/>
        <v>0</v>
      </c>
      <c r="R23" s="27">
        <f t="shared" si="4"/>
        <v>115.32652771826298</v>
      </c>
      <c r="S23" s="27">
        <f t="shared" si="5"/>
        <v>24615.785760492679</v>
      </c>
      <c r="T23" s="27">
        <f t="shared" si="17"/>
        <v>4289.911180513961</v>
      </c>
      <c r="U23" s="27">
        <f t="shared" si="6"/>
        <v>0</v>
      </c>
      <c r="V23" s="9">
        <f t="shared" si="18"/>
        <v>3.3174426390520586</v>
      </c>
      <c r="W23" s="9">
        <f t="shared" si="7"/>
        <v>0</v>
      </c>
      <c r="X23" s="27">
        <f t="shared" si="8"/>
        <v>1230.7892880246343</v>
      </c>
      <c r="AA23" s="22">
        <f t="shared" si="9"/>
        <v>18976.441321596769</v>
      </c>
      <c r="AB23" s="22">
        <f>'Q2 (ii)'!S23-SUM('Q2 (ii)'!Q23:R23,'Q2 (ii)'!T23:X23)</f>
        <v>19323.133351095472</v>
      </c>
      <c r="AE23" s="85">
        <v>2</v>
      </c>
      <c r="AF23" t="s">
        <v>169</v>
      </c>
    </row>
    <row r="24" spans="1:32" x14ac:dyDescent="0.2">
      <c r="A24">
        <f t="shared" si="19"/>
        <v>17</v>
      </c>
      <c r="B24">
        <f t="shared" si="10"/>
        <v>59</v>
      </c>
      <c r="C24" s="82">
        <f t="shared" si="2"/>
        <v>788742.77253189008</v>
      </c>
      <c r="D24" s="82">
        <v>0</v>
      </c>
      <c r="E24" s="43"/>
      <c r="F24" s="43">
        <f t="shared" si="20"/>
        <v>121.98895477029161</v>
      </c>
      <c r="G24" s="43">
        <f t="shared" si="1"/>
        <v>25716.387748284265</v>
      </c>
      <c r="H24" s="43">
        <f t="shared" si="11"/>
        <v>617.56908352460164</v>
      </c>
      <c r="I24" s="43">
        <f t="shared" si="12"/>
        <v>370.54145011476095</v>
      </c>
      <c r="J24" s="43">
        <f t="shared" si="13"/>
        <v>1285.8193874142135</v>
      </c>
      <c r="L24" s="77">
        <f>'Q2 - Data'!H46/'Q2 - Data'!D46</f>
        <v>7.1400000000001063E-3</v>
      </c>
      <c r="M24" s="77">
        <f t="shared" si="14"/>
        <v>0.95112216104199565</v>
      </c>
      <c r="N24" s="77">
        <f t="shared" si="15"/>
        <v>6.7910122298399499E-3</v>
      </c>
      <c r="O24" s="77">
        <f t="shared" si="16"/>
        <v>0.94433114881215574</v>
      </c>
      <c r="Q24" s="27">
        <f t="shared" si="3"/>
        <v>0</v>
      </c>
      <c r="R24" s="27">
        <f t="shared" si="4"/>
        <v>116.02639828437403</v>
      </c>
      <c r="S24" s="27">
        <f t="shared" si="5"/>
        <v>24459.426289342031</v>
      </c>
      <c r="T24" s="27">
        <f t="shared" si="17"/>
        <v>4795.6736379203458</v>
      </c>
      <c r="U24" s="27">
        <f t="shared" si="6"/>
        <v>0</v>
      </c>
      <c r="V24" s="9">
        <f t="shared" si="18"/>
        <v>3.7549120912341745</v>
      </c>
      <c r="W24" s="9">
        <f t="shared" si="7"/>
        <v>0</v>
      </c>
      <c r="X24" s="27">
        <f t="shared" si="8"/>
        <v>1222.9713144671018</v>
      </c>
      <c r="AA24" s="22">
        <f t="shared" si="9"/>
        <v>18321.000026578975</v>
      </c>
      <c r="AB24" s="22">
        <f>'Q2 (ii)'!S24-SUM('Q2 (ii)'!Q24:R24,'Q2 (ii)'!T24:X24)</f>
        <v>18617.363349845917</v>
      </c>
      <c r="AE24" s="85"/>
    </row>
    <row r="25" spans="1:32" x14ac:dyDescent="0.2">
      <c r="A25">
        <f t="shared" si="19"/>
        <v>18</v>
      </c>
      <c r="B25">
        <f t="shared" si="10"/>
        <v>60</v>
      </c>
      <c r="C25" s="82">
        <f t="shared" si="2"/>
        <v>788742.77253189008</v>
      </c>
      <c r="D25" s="82">
        <v>0</v>
      </c>
      <c r="E25" s="43"/>
      <c r="F25" s="43">
        <f t="shared" si="20"/>
        <v>123.51381670492026</v>
      </c>
      <c r="G25" s="43">
        <f t="shared" si="1"/>
        <v>25716.387748284265</v>
      </c>
      <c r="H25" s="43">
        <f t="shared" si="11"/>
        <v>625.28869706865919</v>
      </c>
      <c r="I25" s="43">
        <f t="shared" si="12"/>
        <v>375.17321824119551</v>
      </c>
      <c r="J25" s="43">
        <f t="shared" si="13"/>
        <v>1285.8193874142135</v>
      </c>
      <c r="L25" s="77">
        <f>'Q2 - Data'!H47/'Q2 - Data'!D47</f>
        <v>8.022000000000069E-3</v>
      </c>
      <c r="M25" s="77">
        <f t="shared" si="14"/>
        <v>0.94433114881215574</v>
      </c>
      <c r="N25" s="77">
        <f t="shared" si="15"/>
        <v>7.5754244757711784E-3</v>
      </c>
      <c r="O25" s="77">
        <f t="shared" si="16"/>
        <v>0.93675572433638454</v>
      </c>
      <c r="Q25" s="27">
        <f t="shared" si="3"/>
        <v>0</v>
      </c>
      <c r="R25" s="27">
        <f t="shared" si="4"/>
        <v>116.63794442313139</v>
      </c>
      <c r="S25" s="27">
        <f t="shared" si="5"/>
        <v>24284.785985636128</v>
      </c>
      <c r="T25" s="27">
        <f t="shared" si="17"/>
        <v>5356.361814461935</v>
      </c>
      <c r="U25" s="27">
        <f t="shared" si="6"/>
        <v>0</v>
      </c>
      <c r="V25" s="9">
        <f t="shared" si="18"/>
        <v>4.2463431889739525</v>
      </c>
      <c r="W25" s="9">
        <f t="shared" si="7"/>
        <v>0</v>
      </c>
      <c r="X25" s="27">
        <f t="shared" si="8"/>
        <v>1214.2392992818066</v>
      </c>
      <c r="AA25" s="22">
        <f t="shared" si="9"/>
        <v>17593.300584280281</v>
      </c>
      <c r="AB25" s="22">
        <f>'Q2 (ii)'!S25-SUM('Q2 (ii)'!Q25:R25,'Q2 (ii)'!T25:X25)</f>
        <v>17822.448165213056</v>
      </c>
      <c r="AE25" s="85">
        <v>3</v>
      </c>
      <c r="AF25" t="s">
        <v>170</v>
      </c>
    </row>
    <row r="26" spans="1:32" x14ac:dyDescent="0.2">
      <c r="A26">
        <f t="shared" si="19"/>
        <v>19</v>
      </c>
      <c r="B26">
        <f t="shared" si="10"/>
        <v>61</v>
      </c>
      <c r="C26" s="82">
        <f t="shared" si="2"/>
        <v>788742.77253189008</v>
      </c>
      <c r="D26" s="82">
        <v>0</v>
      </c>
      <c r="E26" s="43"/>
      <c r="F26" s="43">
        <f t="shared" si="20"/>
        <v>125.05773941373175</v>
      </c>
      <c r="G26" s="43">
        <f t="shared" si="1"/>
        <v>25716.387748284265</v>
      </c>
      <c r="H26" s="43">
        <f t="shared" si="11"/>
        <v>633.10480578201737</v>
      </c>
      <c r="I26" s="43">
        <f t="shared" si="12"/>
        <v>379.86288346921037</v>
      </c>
      <c r="J26" s="43">
        <f t="shared" si="13"/>
        <v>1285.8193874142135</v>
      </c>
      <c r="L26" s="77">
        <f>'Q2 - Data'!H48/'Q2 - Data'!D48</f>
        <v>9.0090000000001332E-3</v>
      </c>
      <c r="M26" s="77">
        <f t="shared" si="14"/>
        <v>0.93675572433638454</v>
      </c>
      <c r="N26" s="77">
        <f t="shared" si="15"/>
        <v>8.4392323205466132E-3</v>
      </c>
      <c r="O26" s="77">
        <f t="shared" si="16"/>
        <v>0.92831649201583788</v>
      </c>
      <c r="Q26" s="27">
        <f t="shared" si="3"/>
        <v>0</v>
      </c>
      <c r="R26" s="27">
        <f t="shared" si="4"/>
        <v>117.14855326838111</v>
      </c>
      <c r="S26" s="27">
        <f t="shared" si="5"/>
        <v>24089.973432459352</v>
      </c>
      <c r="T26" s="27">
        <f t="shared" si="17"/>
        <v>5975.0613041256993</v>
      </c>
      <c r="U26" s="27">
        <f t="shared" si="6"/>
        <v>0</v>
      </c>
      <c r="V26" s="9">
        <f t="shared" si="18"/>
        <v>4.7960376414494528</v>
      </c>
      <c r="W26" s="9">
        <f t="shared" si="7"/>
        <v>0</v>
      </c>
      <c r="X26" s="27">
        <f t="shared" si="8"/>
        <v>1204.4986716229678</v>
      </c>
      <c r="AA26" s="22">
        <f t="shared" si="9"/>
        <v>16788.468865800853</v>
      </c>
      <c r="AB26" s="22">
        <f>'Q2 (ii)'!S26-SUM('Q2 (ii)'!Q26:R26,'Q2 (ii)'!T26:X26)</f>
        <v>16930.453323582748</v>
      </c>
      <c r="AE26" s="85"/>
    </row>
    <row r="27" spans="1:32" x14ac:dyDescent="0.2">
      <c r="A27">
        <f t="shared" si="19"/>
        <v>20</v>
      </c>
      <c r="B27">
        <f t="shared" si="10"/>
        <v>62</v>
      </c>
      <c r="C27" s="82">
        <f t="shared" si="2"/>
        <v>788742.77253189008</v>
      </c>
      <c r="D27" s="82">
        <v>0</v>
      </c>
      <c r="E27" s="43"/>
      <c r="F27" s="43"/>
      <c r="G27" s="43"/>
      <c r="H27" s="43">
        <f t="shared" si="11"/>
        <v>641.01861585429253</v>
      </c>
      <c r="I27" s="43">
        <f t="shared" si="12"/>
        <v>384.61116951257554</v>
      </c>
      <c r="J27" s="43">
        <f t="shared" si="13"/>
        <v>0</v>
      </c>
      <c r="L27" s="77">
        <f>'Q2 - Data'!H49/'Q2 - Data'!D49</f>
        <v>1.0111999999999927E-2</v>
      </c>
      <c r="M27" s="77">
        <f t="shared" si="14"/>
        <v>0.92831649201583788</v>
      </c>
      <c r="N27" s="77">
        <f t="shared" si="15"/>
        <v>9.3871363672640845E-3</v>
      </c>
      <c r="O27" s="77">
        <f t="shared" si="16"/>
        <v>0.91892935564857381</v>
      </c>
      <c r="Q27" s="27">
        <f t="shared" si="3"/>
        <v>0</v>
      </c>
      <c r="R27" s="27">
        <f>F27*M27</f>
        <v>0</v>
      </c>
      <c r="S27" s="27">
        <f t="shared" si="5"/>
        <v>0</v>
      </c>
      <c r="T27" s="27">
        <f t="shared" si="17"/>
        <v>6656.3834985486719</v>
      </c>
      <c r="U27" s="27">
        <f t="shared" si="6"/>
        <v>724798.88773519942</v>
      </c>
      <c r="V27" s="9">
        <f t="shared" si="18"/>
        <v>5.4097050209895992</v>
      </c>
      <c r="W27" s="9">
        <f t="shared" si="7"/>
        <v>353.43049417543546</v>
      </c>
      <c r="X27" s="27">
        <f t="shared" si="8"/>
        <v>0</v>
      </c>
      <c r="AA27" s="22">
        <f t="shared" si="9"/>
        <v>-731814.11143294442</v>
      </c>
      <c r="AB27" s="22">
        <f>'Q2 (ii)'!S27-SUM('Q2 (ii)'!Q27:R27,'Q2 (ii)'!T27:X27)</f>
        <v>-742127.12208968448</v>
      </c>
      <c r="AE27" s="85">
        <v>4</v>
      </c>
      <c r="AF27" t="s">
        <v>165</v>
      </c>
    </row>
    <row r="28" spans="1:32" x14ac:dyDescent="0.2">
      <c r="AE28" s="85"/>
      <c r="AF28" t="s">
        <v>166</v>
      </c>
    </row>
    <row r="30" spans="1:32" x14ac:dyDescent="0.2">
      <c r="AE30" s="45" t="s">
        <v>171</v>
      </c>
    </row>
  </sheetData>
  <mergeCells count="3">
    <mergeCell ref="C5:J5"/>
    <mergeCell ref="L5:O5"/>
    <mergeCell ref="Q5:Y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80" zoomScaleNormal="80" workbookViewId="0">
      <selection activeCell="N32" sqref="N32"/>
    </sheetView>
  </sheetViews>
  <sheetFormatPr defaultColWidth="8.85546875" defaultRowHeight="12.75" x14ac:dyDescent="0.2"/>
  <cols>
    <col min="1" max="1" width="8.85546875" style="26"/>
    <col min="2" max="2" width="12.5703125" style="26" customWidth="1"/>
    <col min="3" max="3" width="10.140625" style="26" bestFit="1" customWidth="1"/>
    <col min="4" max="4" width="9.140625" style="26" bestFit="1" customWidth="1"/>
    <col min="5" max="6" width="12.5703125" style="26" bestFit="1" customWidth="1"/>
    <col min="7" max="7" width="16.5703125" style="26" bestFit="1" customWidth="1"/>
    <col min="8" max="8" width="11.85546875" style="26" bestFit="1" customWidth="1"/>
    <col min="9" max="9" width="21.85546875" style="26" bestFit="1" customWidth="1"/>
    <col min="10" max="10" width="11.85546875" style="26" bestFit="1" customWidth="1"/>
    <col min="11" max="11" width="8.85546875" style="26"/>
    <col min="12" max="12" width="23.28515625" style="26" bestFit="1" customWidth="1"/>
    <col min="13" max="16384" width="8.85546875" style="26"/>
  </cols>
  <sheetData>
    <row r="1" spans="1:13" x14ac:dyDescent="0.2">
      <c r="E1" s="45" t="s">
        <v>87</v>
      </c>
      <c r="F1" s="45" t="s">
        <v>87</v>
      </c>
      <c r="G1" s="45" t="s">
        <v>87</v>
      </c>
      <c r="H1" s="45" t="s">
        <v>87</v>
      </c>
      <c r="I1" s="45" t="s">
        <v>87</v>
      </c>
    </row>
    <row r="2" spans="1:13" ht="14.45" customHeight="1" x14ac:dyDescent="0.2">
      <c r="B2" s="63" t="s">
        <v>51</v>
      </c>
      <c r="C2" s="63" t="s">
        <v>52</v>
      </c>
      <c r="D2" s="63" t="s">
        <v>53</v>
      </c>
      <c r="E2" s="63" t="s">
        <v>54</v>
      </c>
      <c r="F2" s="63" t="s">
        <v>55</v>
      </c>
      <c r="G2" s="63" t="s">
        <v>112</v>
      </c>
      <c r="H2" s="63" t="s">
        <v>57</v>
      </c>
      <c r="I2" s="91" t="s">
        <v>58</v>
      </c>
    </row>
    <row r="3" spans="1:13" x14ac:dyDescent="0.2">
      <c r="A3" s="25">
        <f t="shared" ref="A3:A10" si="0">A4-1</f>
        <v>-10</v>
      </c>
      <c r="B3" s="93">
        <f t="shared" ref="B3:B11" si="1">EOMONTH(B4,-12)</f>
        <v>40786</v>
      </c>
      <c r="C3" s="61">
        <v>6134.5</v>
      </c>
      <c r="D3" s="61">
        <v>1520.1</v>
      </c>
      <c r="E3" s="61"/>
      <c r="F3" s="61"/>
      <c r="G3" s="61"/>
      <c r="H3" s="61">
        <v>100000</v>
      </c>
      <c r="I3" s="61">
        <f>H3</f>
        <v>100000</v>
      </c>
    </row>
    <row r="4" spans="1:13" x14ac:dyDescent="0.2">
      <c r="A4" s="25">
        <f t="shared" si="0"/>
        <v>-9</v>
      </c>
      <c r="B4" s="93">
        <f t="shared" si="1"/>
        <v>41152</v>
      </c>
      <c r="C4" s="61">
        <v>4624.3</v>
      </c>
      <c r="D4" s="61">
        <v>1709.81</v>
      </c>
      <c r="E4" s="62">
        <f>C4/C3-1</f>
        <v>-0.24618143287961525</v>
      </c>
      <c r="F4" s="62">
        <f>D4/D3-1</f>
        <v>0.12480099993421478</v>
      </c>
      <c r="G4" s="62">
        <f>0.7*E4+0.3*F4</f>
        <v>-0.13488670303546624</v>
      </c>
      <c r="H4" s="61"/>
      <c r="I4" s="61">
        <f>I3*(1+G4)+H4</f>
        <v>86511.32969645338</v>
      </c>
      <c r="J4" s="30">
        <f>(1+G4)</f>
        <v>0.86511329696453376</v>
      </c>
    </row>
    <row r="5" spans="1:13" x14ac:dyDescent="0.2">
      <c r="A5" s="25">
        <f t="shared" si="0"/>
        <v>-8</v>
      </c>
      <c r="B5" s="93">
        <f t="shared" si="1"/>
        <v>41517</v>
      </c>
      <c r="C5" s="61">
        <v>5905.1</v>
      </c>
      <c r="D5" s="61">
        <v>1724.86</v>
      </c>
      <c r="E5" s="62">
        <f t="shared" ref="E5:E13" si="2">C5/C4-1</f>
        <v>0.27697164976320754</v>
      </c>
      <c r="F5" s="62">
        <f t="shared" ref="F5:F13" si="3">D5/D4-1</f>
        <v>8.8021476070441196E-3</v>
      </c>
      <c r="G5" s="62">
        <f t="shared" ref="G5:G13" si="4">0.7*E5+0.3*F5</f>
        <v>0.1965207991163585</v>
      </c>
      <c r="H5" s="61">
        <v>50000</v>
      </c>
      <c r="I5" s="61">
        <f t="shared" ref="I5:I13" si="5">I4*(1+G5)+H5</f>
        <v>153512.60534101917</v>
      </c>
      <c r="J5" s="30">
        <f t="shared" ref="J5:J13" si="6">(1+G5)</f>
        <v>1.1965207991163584</v>
      </c>
      <c r="L5" s="26" t="s">
        <v>59</v>
      </c>
    </row>
    <row r="6" spans="1:13" x14ac:dyDescent="0.2">
      <c r="A6" s="25">
        <f t="shared" si="0"/>
        <v>-7</v>
      </c>
      <c r="B6" s="93">
        <f t="shared" si="1"/>
        <v>41882</v>
      </c>
      <c r="C6" s="61">
        <v>6304</v>
      </c>
      <c r="D6" s="61">
        <v>1545.13</v>
      </c>
      <c r="E6" s="62">
        <f t="shared" si="2"/>
        <v>6.7551777277268688E-2</v>
      </c>
      <c r="F6" s="62">
        <f t="shared" si="3"/>
        <v>-0.10419976114003449</v>
      </c>
      <c r="G6" s="62">
        <f t="shared" si="4"/>
        <v>1.6026315752077733E-2</v>
      </c>
      <c r="H6" s="61"/>
      <c r="I6" s="61">
        <f t="shared" si="5"/>
        <v>155972.84682613844</v>
      </c>
      <c r="J6" s="30">
        <f t="shared" si="6"/>
        <v>1.0160263157520777</v>
      </c>
      <c r="L6" s="27">
        <f>I13</f>
        <v>561130.91955019091</v>
      </c>
      <c r="M6" s="45" t="s">
        <v>87</v>
      </c>
    </row>
    <row r="7" spans="1:13" x14ac:dyDescent="0.2">
      <c r="A7" s="25">
        <f t="shared" si="0"/>
        <v>-6</v>
      </c>
      <c r="B7" s="93">
        <f t="shared" si="1"/>
        <v>42247</v>
      </c>
      <c r="C7" s="61">
        <v>8282.7000000000007</v>
      </c>
      <c r="D7" s="61">
        <v>1683.88</v>
      </c>
      <c r="E7" s="62">
        <f t="shared" si="2"/>
        <v>0.31388007614213209</v>
      </c>
      <c r="F7" s="62">
        <f t="shared" si="3"/>
        <v>8.9798269401280217E-2</v>
      </c>
      <c r="G7" s="62">
        <f t="shared" si="4"/>
        <v>0.24665553411987651</v>
      </c>
      <c r="H7" s="61">
        <v>50000</v>
      </c>
      <c r="I7" s="61">
        <f t="shared" si="5"/>
        <v>244444.41266823729</v>
      </c>
      <c r="J7" s="30">
        <f t="shared" si="6"/>
        <v>1.2466555341198764</v>
      </c>
    </row>
    <row r="8" spans="1:13" x14ac:dyDescent="0.2">
      <c r="A8" s="25">
        <f t="shared" si="0"/>
        <v>-5</v>
      </c>
      <c r="B8" s="93">
        <f t="shared" si="1"/>
        <v>42613</v>
      </c>
      <c r="C8" s="61">
        <v>7964.35</v>
      </c>
      <c r="D8" s="61">
        <v>1703.41</v>
      </c>
      <c r="E8" s="62">
        <f t="shared" si="2"/>
        <v>-3.8435534306445973E-2</v>
      </c>
      <c r="F8" s="62">
        <f t="shared" si="3"/>
        <v>1.159821364942859E-2</v>
      </c>
      <c r="G8" s="62">
        <f t="shared" si="4"/>
        <v>-2.3425409919683601E-2</v>
      </c>
      <c r="H8" s="61"/>
      <c r="I8" s="61">
        <f t="shared" si="5"/>
        <v>238718.20209890755</v>
      </c>
      <c r="J8" s="30">
        <f t="shared" si="6"/>
        <v>0.97657459008031644</v>
      </c>
    </row>
    <row r="9" spans="1:13" x14ac:dyDescent="0.2">
      <c r="A9" s="25">
        <f t="shared" si="0"/>
        <v>-4</v>
      </c>
      <c r="B9" s="93">
        <f t="shared" si="1"/>
        <v>42978</v>
      </c>
      <c r="C9" s="61">
        <v>8185.8</v>
      </c>
      <c r="D9" s="61">
        <v>1693.87</v>
      </c>
      <c r="E9" s="62">
        <f t="shared" si="2"/>
        <v>2.780515672967665E-2</v>
      </c>
      <c r="F9" s="62">
        <f t="shared" si="3"/>
        <v>-5.6005307001838478E-3</v>
      </c>
      <c r="G9" s="62">
        <f t="shared" si="4"/>
        <v>1.7783450500718501E-2</v>
      </c>
      <c r="H9" s="61">
        <v>50000</v>
      </c>
      <c r="I9" s="61">
        <f t="shared" si="5"/>
        <v>292963.43542955403</v>
      </c>
      <c r="J9" s="30">
        <f t="shared" si="6"/>
        <v>1.0177834505007186</v>
      </c>
    </row>
    <row r="10" spans="1:13" x14ac:dyDescent="0.2">
      <c r="A10" s="25">
        <f t="shared" si="0"/>
        <v>-3</v>
      </c>
      <c r="B10" s="93">
        <f t="shared" si="1"/>
        <v>43343</v>
      </c>
      <c r="C10" s="61">
        <v>10530.7</v>
      </c>
      <c r="D10" s="61">
        <v>1705.05</v>
      </c>
      <c r="E10" s="62">
        <f t="shared" si="2"/>
        <v>0.2864594786092991</v>
      </c>
      <c r="F10" s="62">
        <f t="shared" si="3"/>
        <v>6.6002703867475976E-3</v>
      </c>
      <c r="G10" s="62">
        <f t="shared" si="4"/>
        <v>0.20250171614253362</v>
      </c>
      <c r="H10" s="61"/>
      <c r="I10" s="61">
        <f t="shared" si="5"/>
        <v>352289.03387105104</v>
      </c>
      <c r="J10" s="30">
        <f t="shared" si="6"/>
        <v>1.2025017161425335</v>
      </c>
    </row>
    <row r="11" spans="1:13" x14ac:dyDescent="0.2">
      <c r="A11" s="26">
        <f>A12-1</f>
        <v>-2</v>
      </c>
      <c r="B11" s="93">
        <f t="shared" si="1"/>
        <v>43708</v>
      </c>
      <c r="C11" s="61">
        <v>10862.55</v>
      </c>
      <c r="D11" s="61">
        <v>1664.13</v>
      </c>
      <c r="E11" s="62">
        <f t="shared" si="2"/>
        <v>3.151262499169083E-2</v>
      </c>
      <c r="F11" s="62">
        <f t="shared" si="3"/>
        <v>-2.3999296208322196E-2</v>
      </c>
      <c r="G11" s="62">
        <f t="shared" si="4"/>
        <v>1.4859048631686921E-2</v>
      </c>
      <c r="H11" s="61">
        <v>50000</v>
      </c>
      <c r="I11" s="61">
        <f t="shared" si="5"/>
        <v>407523.71375775099</v>
      </c>
      <c r="J11" s="30">
        <f t="shared" si="6"/>
        <v>1.0148590486316869</v>
      </c>
    </row>
    <row r="12" spans="1:13" x14ac:dyDescent="0.2">
      <c r="A12" s="26">
        <v>-1</v>
      </c>
      <c r="B12" s="93">
        <f>EOMONTH(B13,-12)</f>
        <v>44074</v>
      </c>
      <c r="C12" s="61">
        <v>12168.45</v>
      </c>
      <c r="D12" s="61">
        <v>1783.62</v>
      </c>
      <c r="E12" s="62">
        <f t="shared" si="2"/>
        <v>0.12022039023986086</v>
      </c>
      <c r="F12" s="62">
        <f t="shared" si="3"/>
        <v>7.1803284599159856E-2</v>
      </c>
      <c r="G12" s="62">
        <f t="shared" si="4"/>
        <v>0.10569525854765055</v>
      </c>
      <c r="H12" s="61"/>
      <c r="I12" s="61">
        <f t="shared" si="5"/>
        <v>450597.03804767522</v>
      </c>
      <c r="J12" s="30">
        <f t="shared" si="6"/>
        <v>1.1056952585476505</v>
      </c>
    </row>
    <row r="13" spans="1:13" x14ac:dyDescent="0.2">
      <c r="A13" s="26" t="s">
        <v>113</v>
      </c>
      <c r="B13" s="93">
        <v>44439</v>
      </c>
      <c r="C13" s="61">
        <v>13981.75</v>
      </c>
      <c r="D13" s="61">
        <v>1962.16</v>
      </c>
      <c r="E13" s="62">
        <f t="shared" si="2"/>
        <v>0.14901651401780835</v>
      </c>
      <c r="F13" s="62">
        <f t="shared" si="3"/>
        <v>0.10009979704197103</v>
      </c>
      <c r="G13" s="62">
        <f t="shared" si="4"/>
        <v>0.13434149892505715</v>
      </c>
      <c r="H13" s="61">
        <v>50000</v>
      </c>
      <c r="I13" s="61">
        <f t="shared" si="5"/>
        <v>561130.91955019091</v>
      </c>
      <c r="J13" s="30">
        <f t="shared" si="6"/>
        <v>1.1343414989250571</v>
      </c>
    </row>
    <row r="15" spans="1:13" x14ac:dyDescent="0.2">
      <c r="I15" s="25"/>
      <c r="J15" s="25"/>
    </row>
    <row r="16" spans="1:13" x14ac:dyDescent="0.2">
      <c r="H16" s="25"/>
      <c r="I16" s="25"/>
      <c r="J16" s="25"/>
    </row>
    <row r="17" spans="8:10" x14ac:dyDescent="0.2">
      <c r="H17" s="25"/>
      <c r="I17" s="25"/>
      <c r="J17" s="25"/>
    </row>
    <row r="18" spans="8:10" x14ac:dyDescent="0.2">
      <c r="H18" s="25"/>
      <c r="I18" s="25"/>
      <c r="J18" s="25"/>
    </row>
  </sheetData>
  <pageMargins left="0.7" right="0.7" top="0.75" bottom="0.75" header="0.3" footer="0.3"/>
  <pageSetup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M26" sqref="M26"/>
    </sheetView>
  </sheetViews>
  <sheetFormatPr defaultColWidth="8.7109375" defaultRowHeight="12.75" x14ac:dyDescent="0.2"/>
  <cols>
    <col min="1" max="1" width="8.7109375" style="25"/>
    <col min="2" max="2" width="15.140625" style="25" bestFit="1" customWidth="1"/>
    <col min="3" max="3" width="14.140625" style="25" bestFit="1" customWidth="1"/>
    <col min="4" max="4" width="11.42578125" style="25" bestFit="1" customWidth="1"/>
    <col min="5" max="5" width="11.85546875" style="25" bestFit="1" customWidth="1"/>
    <col min="6" max="6" width="8.7109375" style="25"/>
    <col min="7" max="7" width="15.140625" style="25" customWidth="1"/>
    <col min="8" max="8" width="17.5703125" style="25" customWidth="1"/>
    <col min="9" max="9" width="13.140625" style="25" customWidth="1"/>
    <col min="10" max="16384" width="8.7109375" style="25"/>
  </cols>
  <sheetData>
    <row r="2" spans="2:6" x14ac:dyDescent="0.2">
      <c r="B2" s="64"/>
      <c r="C2" s="65" t="s">
        <v>51</v>
      </c>
      <c r="D2" s="65" t="s">
        <v>52</v>
      </c>
      <c r="E2" s="65" t="s">
        <v>53</v>
      </c>
      <c r="F2" s="64"/>
    </row>
    <row r="3" spans="2:6" x14ac:dyDescent="0.2">
      <c r="B3" s="64" t="s">
        <v>60</v>
      </c>
      <c r="C3" s="66">
        <v>2011</v>
      </c>
      <c r="D3" s="67">
        <f>'Q3(i)'!C3</f>
        <v>6134.5</v>
      </c>
      <c r="E3" s="67">
        <f>'Q3(i)'!D3</f>
        <v>1520.1</v>
      </c>
      <c r="F3" s="64"/>
    </row>
    <row r="4" spans="2:6" x14ac:dyDescent="0.2">
      <c r="B4" s="64" t="s">
        <v>61</v>
      </c>
      <c r="C4" s="66">
        <v>2020</v>
      </c>
      <c r="D4" s="67">
        <f>'Q3(i)'!C13</f>
        <v>13981.75</v>
      </c>
      <c r="E4" s="67">
        <f>'Q3(i)'!D13</f>
        <v>1962.16</v>
      </c>
      <c r="F4" s="64"/>
    </row>
    <row r="7" spans="2:6" x14ac:dyDescent="0.2">
      <c r="B7" s="64"/>
      <c r="C7" s="65" t="s">
        <v>52</v>
      </c>
      <c r="D7" s="65" t="s">
        <v>53</v>
      </c>
      <c r="E7" s="64"/>
    </row>
    <row r="8" spans="2:6" x14ac:dyDescent="0.2">
      <c r="B8" s="68" t="s">
        <v>62</v>
      </c>
      <c r="C8" s="69">
        <f>D4/D3-1</f>
        <v>1.279199608770071</v>
      </c>
      <c r="D8" s="69">
        <f>E4/E3-1</f>
        <v>0.2908098151437406</v>
      </c>
      <c r="E8" s="70" t="s">
        <v>114</v>
      </c>
    </row>
    <row r="9" spans="2:6" x14ac:dyDescent="0.2">
      <c r="B9" s="68" t="s">
        <v>75</v>
      </c>
      <c r="C9" s="69">
        <f>LN(1+C8)/10</f>
        <v>8.2382433254924364E-2</v>
      </c>
      <c r="D9" s="69">
        <f>LN(1+D8)/10</f>
        <v>2.552697850897075E-2</v>
      </c>
      <c r="E9" s="71" t="s">
        <v>115</v>
      </c>
    </row>
    <row r="10" spans="2:6" x14ac:dyDescent="0.2">
      <c r="B10" s="25" t="s">
        <v>118</v>
      </c>
      <c r="C10" s="46">
        <f>0.7*C9+0.3*D9</f>
        <v>6.5325796831138275E-2</v>
      </c>
    </row>
  </sheetData>
  <pageMargins left="0.7" right="0.7" top="0.75" bottom="0.75" header="0.3" footer="0.3"/>
  <pageSetup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workbookViewId="0">
      <selection activeCell="N16" sqref="N16"/>
    </sheetView>
  </sheetViews>
  <sheetFormatPr defaultRowHeight="12.75" x14ac:dyDescent="0.2"/>
  <cols>
    <col min="2" max="2" width="8.85546875" bestFit="1" customWidth="1"/>
    <col min="3" max="3" width="10.85546875" bestFit="1" customWidth="1"/>
    <col min="4" max="4" width="9.85546875" bestFit="1" customWidth="1"/>
    <col min="5" max="5" width="11.7109375" bestFit="1" customWidth="1"/>
    <col min="6" max="6" width="10.85546875" bestFit="1" customWidth="1"/>
    <col min="7" max="7" width="12.42578125" bestFit="1" customWidth="1"/>
    <col min="8" max="8" width="13.5703125" bestFit="1" customWidth="1"/>
    <col min="9" max="9" width="27.140625" bestFit="1" customWidth="1"/>
    <col min="10" max="10" width="6.5703125" bestFit="1" customWidth="1"/>
    <col min="11" max="11" width="10.28515625" bestFit="1" customWidth="1"/>
    <col min="12" max="12" width="14.42578125" bestFit="1" customWidth="1"/>
  </cols>
  <sheetData>
    <row r="1" spans="2:14" x14ac:dyDescent="0.2">
      <c r="I1" s="73" t="s">
        <v>87</v>
      </c>
      <c r="J1" s="73" t="s">
        <v>87</v>
      </c>
      <c r="K1" s="73" t="s">
        <v>87</v>
      </c>
    </row>
    <row r="2" spans="2:14" x14ac:dyDescent="0.2">
      <c r="B2" s="29" t="s">
        <v>51</v>
      </c>
      <c r="C2" s="29" t="s">
        <v>52</v>
      </c>
      <c r="D2" s="29" t="s">
        <v>53</v>
      </c>
      <c r="E2" s="29" t="s">
        <v>54</v>
      </c>
      <c r="F2" s="29" t="s">
        <v>55</v>
      </c>
      <c r="G2" s="29" t="s">
        <v>56</v>
      </c>
      <c r="H2" s="29" t="s">
        <v>57</v>
      </c>
      <c r="I2" s="90" t="s">
        <v>74</v>
      </c>
      <c r="J2" s="29" t="s">
        <v>63</v>
      </c>
      <c r="K2" s="29" t="s">
        <v>64</v>
      </c>
      <c r="L2" s="29" t="s">
        <v>66</v>
      </c>
    </row>
    <row r="3" spans="2:14" x14ac:dyDescent="0.2">
      <c r="B3" s="93">
        <f>'Q3(i)'!B3</f>
        <v>40786</v>
      </c>
      <c r="C3" s="61">
        <f>'Q3(i)'!C3</f>
        <v>6134.5</v>
      </c>
      <c r="D3" s="61">
        <f>'Q3(i)'!D3</f>
        <v>1520.1</v>
      </c>
      <c r="E3" s="72">
        <f>'Q3(i)'!E3</f>
        <v>0</v>
      </c>
      <c r="F3" s="72">
        <f>'Q3(i)'!F3</f>
        <v>0</v>
      </c>
      <c r="G3" s="72">
        <f>'Q3(i)'!G3</f>
        <v>0</v>
      </c>
      <c r="H3" s="28">
        <f>'Q3(i)'!H3</f>
        <v>100000</v>
      </c>
      <c r="I3" s="28">
        <f>'Q3(i)'!I3</f>
        <v>100000</v>
      </c>
      <c r="J3" s="28">
        <v>0</v>
      </c>
      <c r="K3" s="28">
        <v>0</v>
      </c>
      <c r="L3" s="28">
        <f>I3</f>
        <v>100000</v>
      </c>
    </row>
    <row r="4" spans="2:14" x14ac:dyDescent="0.2">
      <c r="B4" s="93">
        <f>'Q3(i)'!B4</f>
        <v>41152</v>
      </c>
      <c r="C4" s="61">
        <f>'Q3(i)'!C4</f>
        <v>4624.3</v>
      </c>
      <c r="D4" s="61">
        <f>'Q3(i)'!D4</f>
        <v>1709.81</v>
      </c>
      <c r="E4" s="72">
        <f>'Q3(i)'!E4</f>
        <v>-0.24618143287961525</v>
      </c>
      <c r="F4" s="72">
        <f>'Q3(i)'!F4</f>
        <v>0.12480099993421478</v>
      </c>
      <c r="G4" s="72">
        <f>'Q3(i)'!G4</f>
        <v>-0.13488670303546624</v>
      </c>
      <c r="H4" s="28">
        <f>'Q3(i)'!H4</f>
        <v>0</v>
      </c>
      <c r="I4" s="74">
        <f>(L3)*(1+G4)+H4</f>
        <v>86511.32969645338</v>
      </c>
      <c r="J4" s="75">
        <f>IF(G4&gt;10%,1.5%,1%)*I4</f>
        <v>865.11329696453379</v>
      </c>
      <c r="K4" s="75">
        <f t="shared" ref="K4:K13" si="0">14%*J4</f>
        <v>121.11586157503474</v>
      </c>
      <c r="L4" s="74">
        <f>I4-J4-K4</f>
        <v>85525.100537913808</v>
      </c>
    </row>
    <row r="5" spans="2:14" x14ac:dyDescent="0.2">
      <c r="B5" s="93">
        <f>'Q3(i)'!B5</f>
        <v>41517</v>
      </c>
      <c r="C5" s="61">
        <f>'Q3(i)'!C5</f>
        <v>5905.1</v>
      </c>
      <c r="D5" s="61">
        <f>'Q3(i)'!D5</f>
        <v>1724.86</v>
      </c>
      <c r="E5" s="72">
        <f>'Q3(i)'!E5</f>
        <v>0.27697164976320754</v>
      </c>
      <c r="F5" s="72">
        <f>'Q3(i)'!F5</f>
        <v>8.8021476070441196E-3</v>
      </c>
      <c r="G5" s="72">
        <f>'Q3(i)'!G5</f>
        <v>0.1965207991163585</v>
      </c>
      <c r="H5" s="28">
        <f>'Q3(i)'!H5</f>
        <v>50000</v>
      </c>
      <c r="I5" s="74">
        <f t="shared" ref="I5:I13" si="1">(L4)*(1+G5)+H5</f>
        <v>152332.56164013152</v>
      </c>
      <c r="J5" s="75">
        <f t="shared" ref="J5:J13" si="2">IF(G5&gt;10%,1.5%,1%)*I5</f>
        <v>2284.9884246019728</v>
      </c>
      <c r="K5" s="75">
        <f t="shared" si="0"/>
        <v>319.8983794442762</v>
      </c>
      <c r="L5" s="74">
        <f t="shared" ref="L5:L13" si="3">I5-J5-K5</f>
        <v>149727.67483608527</v>
      </c>
    </row>
    <row r="6" spans="2:14" x14ac:dyDescent="0.2">
      <c r="B6" s="93">
        <f>'Q3(i)'!B6</f>
        <v>41882</v>
      </c>
      <c r="C6" s="61">
        <f>'Q3(i)'!C6</f>
        <v>6304</v>
      </c>
      <c r="D6" s="61">
        <f>'Q3(i)'!D6</f>
        <v>1545.13</v>
      </c>
      <c r="E6" s="72">
        <f>'Q3(i)'!E6</f>
        <v>6.7551777277268688E-2</v>
      </c>
      <c r="F6" s="72">
        <f>'Q3(i)'!F6</f>
        <v>-0.10419976114003449</v>
      </c>
      <c r="G6" s="72">
        <f>'Q3(i)'!G6</f>
        <v>1.6026315752077733E-2</v>
      </c>
      <c r="H6" s="28">
        <f>'Q3(i)'!H6</f>
        <v>0</v>
      </c>
      <c r="I6" s="74">
        <f t="shared" si="1"/>
        <v>152127.25782983279</v>
      </c>
      <c r="J6" s="75">
        <f t="shared" si="2"/>
        <v>1521.272578298328</v>
      </c>
      <c r="K6" s="75">
        <f t="shared" si="0"/>
        <v>212.97816096176592</v>
      </c>
      <c r="L6" s="74">
        <f t="shared" si="3"/>
        <v>150393.0070905727</v>
      </c>
    </row>
    <row r="7" spans="2:14" x14ac:dyDescent="0.2">
      <c r="B7" s="93">
        <f>'Q3(i)'!B7</f>
        <v>42247</v>
      </c>
      <c r="C7" s="61">
        <f>'Q3(i)'!C7</f>
        <v>8282.7000000000007</v>
      </c>
      <c r="D7" s="61">
        <f>'Q3(i)'!D7</f>
        <v>1683.88</v>
      </c>
      <c r="E7" s="72">
        <f>'Q3(i)'!E7</f>
        <v>0.31388007614213209</v>
      </c>
      <c r="F7" s="72">
        <f>'Q3(i)'!F7</f>
        <v>8.9798269401280217E-2</v>
      </c>
      <c r="G7" s="72">
        <f>'Q3(i)'!G7</f>
        <v>0.24665553411987651</v>
      </c>
      <c r="H7" s="28">
        <f>'Q3(i)'!H7</f>
        <v>50000</v>
      </c>
      <c r="I7" s="74">
        <f t="shared" si="1"/>
        <v>237488.27458239227</v>
      </c>
      <c r="J7" s="75">
        <f t="shared" si="2"/>
        <v>3562.324118735884</v>
      </c>
      <c r="K7" s="75">
        <f t="shared" si="0"/>
        <v>498.72537662302381</v>
      </c>
      <c r="L7" s="74">
        <f t="shared" si="3"/>
        <v>233427.22508703338</v>
      </c>
    </row>
    <row r="8" spans="2:14" x14ac:dyDescent="0.2">
      <c r="B8" s="93">
        <f>'Q3(i)'!B8</f>
        <v>42613</v>
      </c>
      <c r="C8" s="61">
        <f>'Q3(i)'!C8</f>
        <v>7964.35</v>
      </c>
      <c r="D8" s="61">
        <f>'Q3(i)'!D8</f>
        <v>1703.41</v>
      </c>
      <c r="E8" s="72">
        <f>'Q3(i)'!E8</f>
        <v>-3.8435534306445973E-2</v>
      </c>
      <c r="F8" s="72">
        <f>'Q3(i)'!F8</f>
        <v>1.159821364942859E-2</v>
      </c>
      <c r="G8" s="72">
        <f>'Q3(i)'!G8</f>
        <v>-2.3425409919683601E-2</v>
      </c>
      <c r="H8" s="28">
        <f>'Q3(i)'!H8</f>
        <v>0</v>
      </c>
      <c r="I8" s="74">
        <f t="shared" si="1"/>
        <v>227959.09665295537</v>
      </c>
      <c r="J8" s="75">
        <f t="shared" si="2"/>
        <v>2279.590966529554</v>
      </c>
      <c r="K8" s="75">
        <f t="shared" si="0"/>
        <v>319.14273531413761</v>
      </c>
      <c r="L8" s="74">
        <f t="shared" si="3"/>
        <v>225360.36295111166</v>
      </c>
    </row>
    <row r="9" spans="2:14" x14ac:dyDescent="0.2">
      <c r="B9" s="93">
        <f>'Q3(i)'!B9</f>
        <v>42978</v>
      </c>
      <c r="C9" s="61">
        <f>'Q3(i)'!C9</f>
        <v>8185.8</v>
      </c>
      <c r="D9" s="61">
        <f>'Q3(i)'!D9</f>
        <v>1693.87</v>
      </c>
      <c r="E9" s="72">
        <f>'Q3(i)'!E9</f>
        <v>2.780515672967665E-2</v>
      </c>
      <c r="F9" s="72">
        <f>'Q3(i)'!F9</f>
        <v>-5.6005307001838478E-3</v>
      </c>
      <c r="G9" s="72">
        <f>'Q3(i)'!G9</f>
        <v>1.7783450500718501E-2</v>
      </c>
      <c r="H9" s="28">
        <f>'Q3(i)'!H9</f>
        <v>50000</v>
      </c>
      <c r="I9" s="74">
        <f t="shared" si="1"/>
        <v>279368.04781047674</v>
      </c>
      <c r="J9" s="75">
        <f t="shared" si="2"/>
        <v>2793.6804781047676</v>
      </c>
      <c r="K9" s="75">
        <f t="shared" si="0"/>
        <v>391.11526693466749</v>
      </c>
      <c r="L9" s="74">
        <f t="shared" si="3"/>
        <v>276183.25206543732</v>
      </c>
    </row>
    <row r="10" spans="2:14" x14ac:dyDescent="0.2">
      <c r="B10" s="93">
        <f>'Q3(i)'!B10</f>
        <v>43343</v>
      </c>
      <c r="C10" s="61">
        <f>'Q3(i)'!C10</f>
        <v>10530.7</v>
      </c>
      <c r="D10" s="61">
        <f>'Q3(i)'!D10</f>
        <v>1705.05</v>
      </c>
      <c r="E10" s="72">
        <f>'Q3(i)'!E10</f>
        <v>0.2864594786092991</v>
      </c>
      <c r="F10" s="72">
        <f>'Q3(i)'!F10</f>
        <v>6.6002703867475976E-3</v>
      </c>
      <c r="G10" s="72">
        <f>'Q3(i)'!G10</f>
        <v>0.20250171614253362</v>
      </c>
      <c r="H10" s="28">
        <f>'Q3(i)'!H10</f>
        <v>0</v>
      </c>
      <c r="I10" s="74">
        <f t="shared" si="1"/>
        <v>332110.83457851427</v>
      </c>
      <c r="J10" s="75">
        <f t="shared" si="2"/>
        <v>4981.6625186777137</v>
      </c>
      <c r="K10" s="75">
        <f t="shared" si="0"/>
        <v>697.43275261487997</v>
      </c>
      <c r="L10" s="74">
        <f t="shared" si="3"/>
        <v>326431.73930722167</v>
      </c>
    </row>
    <row r="11" spans="2:14" x14ac:dyDescent="0.2">
      <c r="B11" s="93">
        <f>'Q3(i)'!B11</f>
        <v>43708</v>
      </c>
      <c r="C11" s="61">
        <f>'Q3(i)'!C11</f>
        <v>10862.55</v>
      </c>
      <c r="D11" s="61">
        <f>'Q3(i)'!D11</f>
        <v>1664.13</v>
      </c>
      <c r="E11" s="72">
        <f>'Q3(i)'!E11</f>
        <v>3.151262499169083E-2</v>
      </c>
      <c r="F11" s="72">
        <f>'Q3(i)'!F11</f>
        <v>-2.3999296208322196E-2</v>
      </c>
      <c r="G11" s="72">
        <f>'Q3(i)'!G11</f>
        <v>1.4859048631686921E-2</v>
      </c>
      <c r="H11" s="28">
        <f>'Q3(i)'!H11</f>
        <v>50000</v>
      </c>
      <c r="I11" s="74">
        <f t="shared" si="1"/>
        <v>381282.20439651381</v>
      </c>
      <c r="J11" s="75">
        <f t="shared" si="2"/>
        <v>3812.8220439651382</v>
      </c>
      <c r="K11" s="75">
        <f t="shared" si="0"/>
        <v>533.79508615511941</v>
      </c>
      <c r="L11" s="74">
        <f t="shared" si="3"/>
        <v>376935.58726639353</v>
      </c>
    </row>
    <row r="12" spans="2:14" x14ac:dyDescent="0.2">
      <c r="B12" s="93">
        <f>'Q3(i)'!B12</f>
        <v>44074</v>
      </c>
      <c r="C12" s="61">
        <f>'Q3(i)'!C12</f>
        <v>12168.45</v>
      </c>
      <c r="D12" s="61">
        <f>'Q3(i)'!D12</f>
        <v>1783.62</v>
      </c>
      <c r="E12" s="72">
        <f>'Q3(i)'!E12</f>
        <v>0.12022039023986086</v>
      </c>
      <c r="F12" s="72">
        <f>'Q3(i)'!F12</f>
        <v>7.1803284599159856E-2</v>
      </c>
      <c r="G12" s="72">
        <f>'Q3(i)'!G12</f>
        <v>0.10569525854765055</v>
      </c>
      <c r="H12" s="28">
        <f>'Q3(i)'!H12</f>
        <v>0</v>
      </c>
      <c r="I12" s="74">
        <f t="shared" si="1"/>
        <v>416775.89161832549</v>
      </c>
      <c r="J12" s="75">
        <f t="shared" si="2"/>
        <v>6251.6383742748822</v>
      </c>
      <c r="K12" s="75">
        <f t="shared" si="0"/>
        <v>875.22937239848363</v>
      </c>
      <c r="L12" s="74">
        <f t="shared" si="3"/>
        <v>409649.02387165214</v>
      </c>
    </row>
    <row r="13" spans="2:14" x14ac:dyDescent="0.2">
      <c r="B13" s="93">
        <f>'Q3(i)'!B13</f>
        <v>44439</v>
      </c>
      <c r="C13" s="61">
        <f>'Q3(i)'!C13</f>
        <v>13981.75</v>
      </c>
      <c r="D13" s="61">
        <f>'Q3(i)'!D13</f>
        <v>1962.16</v>
      </c>
      <c r="E13" s="72">
        <f>'Q3(i)'!E13</f>
        <v>0.14901651401780835</v>
      </c>
      <c r="F13" s="72">
        <f>'Q3(i)'!F13</f>
        <v>0.10009979704197103</v>
      </c>
      <c r="G13" s="72">
        <f>'Q3(i)'!G13</f>
        <v>0.13434149892505715</v>
      </c>
      <c r="H13" s="28">
        <f>'Q3(i)'!H13</f>
        <v>50000</v>
      </c>
      <c r="I13" s="74">
        <f t="shared" si="1"/>
        <v>514681.88777175639</v>
      </c>
      <c r="J13" s="75">
        <f t="shared" si="2"/>
        <v>7720.2283165763456</v>
      </c>
      <c r="K13" s="75">
        <f t="shared" si="0"/>
        <v>1080.8319643206885</v>
      </c>
      <c r="L13" s="74">
        <f t="shared" si="3"/>
        <v>505880.82749085937</v>
      </c>
    </row>
    <row r="15" spans="2:14" x14ac:dyDescent="0.2">
      <c r="L15" t="s">
        <v>116</v>
      </c>
      <c r="M15" s="22">
        <f>L13</f>
        <v>505880.82749085937</v>
      </c>
      <c r="N15" s="73" t="s">
        <v>87</v>
      </c>
    </row>
    <row r="16" spans="2:14" x14ac:dyDescent="0.2">
      <c r="N16" s="73" t="s">
        <v>117</v>
      </c>
    </row>
  </sheetData>
  <pageMargins left="0.7" right="0.7" top="0.75" bottom="0.75" header="0.3" footer="0.3"/>
  <pageSetup orientation="portrait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L26" sqref="L26"/>
    </sheetView>
  </sheetViews>
  <sheetFormatPr defaultRowHeight="12.75" x14ac:dyDescent="0.2"/>
  <cols>
    <col min="2" max="2" width="12" bestFit="1" customWidth="1"/>
    <col min="6" max="6" width="11.85546875" customWidth="1"/>
    <col min="7" max="7" width="10.42578125" customWidth="1"/>
    <col min="8" max="8" width="24.140625" bestFit="1" customWidth="1"/>
    <col min="9" max="9" width="24.85546875" customWidth="1"/>
    <col min="10" max="10" width="11.140625" customWidth="1"/>
    <col min="12" max="12" width="4" customWidth="1"/>
    <col min="13" max="13" width="16.42578125" customWidth="1"/>
    <col min="14" max="14" width="16.85546875" customWidth="1"/>
    <col min="15" max="15" width="16.42578125" customWidth="1"/>
    <col min="16" max="16" width="12.5703125" customWidth="1"/>
    <col min="17" max="17" width="11.140625" customWidth="1"/>
  </cols>
  <sheetData>
    <row r="1" spans="2:17" x14ac:dyDescent="0.2">
      <c r="F1" s="73" t="s">
        <v>87</v>
      </c>
      <c r="G1" s="73" t="s">
        <v>87</v>
      </c>
      <c r="H1" s="73" t="s">
        <v>87</v>
      </c>
      <c r="M1" s="73" t="s">
        <v>87</v>
      </c>
      <c r="N1" s="73" t="s">
        <v>87</v>
      </c>
      <c r="O1" s="73" t="s">
        <v>87</v>
      </c>
    </row>
    <row r="2" spans="2:17" x14ac:dyDescent="0.2">
      <c r="B2" t="s">
        <v>69</v>
      </c>
      <c r="C2" s="1">
        <v>0.06</v>
      </c>
      <c r="E2" t="s">
        <v>30</v>
      </c>
      <c r="F2" t="s">
        <v>67</v>
      </c>
      <c r="G2" t="s">
        <v>68</v>
      </c>
      <c r="H2" t="s">
        <v>70</v>
      </c>
      <c r="L2" t="s">
        <v>30</v>
      </c>
      <c r="M2" s="29" t="s">
        <v>72</v>
      </c>
      <c r="N2" s="29" t="s">
        <v>65</v>
      </c>
      <c r="O2" s="29" t="s">
        <v>73</v>
      </c>
      <c r="P2" s="29" t="s">
        <v>66</v>
      </c>
    </row>
    <row r="3" spans="2:17" x14ac:dyDescent="0.2">
      <c r="E3">
        <v>61</v>
      </c>
      <c r="F3" s="10">
        <v>100000</v>
      </c>
      <c r="G3" s="25">
        <f>1/(1+$C$2)</f>
        <v>0.94339622641509424</v>
      </c>
      <c r="H3" s="10">
        <f>SUMPRODUCT(F3:F22,G3:G22)</f>
        <v>1146992.1218565251</v>
      </c>
      <c r="L3">
        <v>50</v>
      </c>
      <c r="M3" s="33">
        <v>0</v>
      </c>
      <c r="N3" s="32">
        <f>'Q3(i)'!I13+M3</f>
        <v>561130.91955019091</v>
      </c>
      <c r="O3" s="3">
        <f>$J$8</f>
        <v>6.5325796831138275E-2</v>
      </c>
      <c r="P3" s="32">
        <f>(N3+M3)*EXP(O3)</f>
        <v>599011.04877335881</v>
      </c>
      <c r="Q3" s="23">
        <f>N3*(1+'Q3(i)'!J16)</f>
        <v>561130.91955019091</v>
      </c>
    </row>
    <row r="4" spans="2:17" x14ac:dyDescent="0.2">
      <c r="E4">
        <f>E3+1</f>
        <v>62</v>
      </c>
      <c r="F4" s="10">
        <v>100000</v>
      </c>
      <c r="G4" s="25">
        <f>G3/(1+$C$2)</f>
        <v>0.88999644001423983</v>
      </c>
      <c r="L4">
        <f>L3+1</f>
        <v>51</v>
      </c>
      <c r="M4">
        <v>0</v>
      </c>
      <c r="N4" s="10">
        <f>P3+M4</f>
        <v>599011.04877335881</v>
      </c>
      <c r="O4" s="3">
        <f t="shared" ref="O4:O13" si="0">$J$8</f>
        <v>6.5325796831138275E-2</v>
      </c>
      <c r="P4" s="10">
        <f t="shared" ref="P4:P13" si="1">(N4+M4)*EXP(O4)</f>
        <v>639448.34271508141</v>
      </c>
    </row>
    <row r="5" spans="2:17" x14ac:dyDescent="0.2">
      <c r="E5">
        <f t="shared" ref="E5:E22" si="2">E4+1</f>
        <v>63</v>
      </c>
      <c r="F5" s="10">
        <v>100000</v>
      </c>
      <c r="G5" s="25">
        <f t="shared" ref="G5:G22" si="3">G4/(1+$C$2)</f>
        <v>0.83961928303230171</v>
      </c>
      <c r="J5" s="10"/>
      <c r="L5">
        <f t="shared" ref="L5:L13" si="4">L4+1</f>
        <v>52</v>
      </c>
      <c r="M5" s="33">
        <v>0</v>
      </c>
      <c r="N5" s="10">
        <f t="shared" ref="N5:N13" si="5">P4+M5</f>
        <v>639448.34271508141</v>
      </c>
      <c r="O5" s="3">
        <f t="shared" si="0"/>
        <v>6.5325796831138275E-2</v>
      </c>
      <c r="P5" s="10">
        <f t="shared" si="1"/>
        <v>682615.42727532052</v>
      </c>
    </row>
    <row r="6" spans="2:17" x14ac:dyDescent="0.2">
      <c r="E6">
        <f t="shared" si="2"/>
        <v>64</v>
      </c>
      <c r="F6" s="10">
        <v>100000</v>
      </c>
      <c r="G6" s="25">
        <f t="shared" si="3"/>
        <v>0.79209366323802044</v>
      </c>
      <c r="I6" t="s">
        <v>54</v>
      </c>
      <c r="J6" s="3">
        <f>'Q3 (ii)'!C9</f>
        <v>8.2382433254924364E-2</v>
      </c>
      <c r="L6">
        <f t="shared" si="4"/>
        <v>53</v>
      </c>
      <c r="M6">
        <v>0</v>
      </c>
      <c r="N6" s="10">
        <f t="shared" si="5"/>
        <v>682615.42727532052</v>
      </c>
      <c r="O6" s="3">
        <f t="shared" si="0"/>
        <v>6.5325796831138275E-2</v>
      </c>
      <c r="P6" s="10">
        <f t="shared" si="1"/>
        <v>728696.58176890085</v>
      </c>
    </row>
    <row r="7" spans="2:17" x14ac:dyDescent="0.2">
      <c r="E7">
        <f t="shared" si="2"/>
        <v>65</v>
      </c>
      <c r="F7" s="10">
        <v>100000</v>
      </c>
      <c r="G7" s="25">
        <f t="shared" si="3"/>
        <v>0.747258172866057</v>
      </c>
      <c r="I7" t="s">
        <v>55</v>
      </c>
      <c r="J7" s="3">
        <f>'Q3 (ii)'!D9</f>
        <v>2.552697850897075E-2</v>
      </c>
      <c r="L7">
        <f t="shared" si="4"/>
        <v>54</v>
      </c>
      <c r="M7" s="33">
        <v>0</v>
      </c>
      <c r="N7" s="10">
        <f t="shared" si="5"/>
        <v>728696.58176890085</v>
      </c>
      <c r="O7" s="3">
        <f t="shared" si="0"/>
        <v>6.5325796831138275E-2</v>
      </c>
      <c r="P7" s="10">
        <f t="shared" si="1"/>
        <v>777888.5256097673</v>
      </c>
    </row>
    <row r="8" spans="2:17" x14ac:dyDescent="0.2">
      <c r="E8">
        <f t="shared" si="2"/>
        <v>66</v>
      </c>
      <c r="F8" s="10">
        <v>100000</v>
      </c>
      <c r="G8" s="25">
        <f t="shared" si="3"/>
        <v>0.70496054043967638</v>
      </c>
      <c r="I8" t="s">
        <v>71</v>
      </c>
      <c r="J8" s="31">
        <f>'Q3 (ii)'!C10</f>
        <v>6.5325796831138275E-2</v>
      </c>
      <c r="L8">
        <f t="shared" si="4"/>
        <v>55</v>
      </c>
      <c r="M8">
        <v>0</v>
      </c>
      <c r="N8" s="10">
        <f t="shared" si="5"/>
        <v>777888.5256097673</v>
      </c>
      <c r="O8" s="3">
        <f t="shared" si="0"/>
        <v>6.5325796831138275E-2</v>
      </c>
      <c r="P8" s="10">
        <f t="shared" si="1"/>
        <v>830401.25810174667</v>
      </c>
    </row>
    <row r="9" spans="2:17" x14ac:dyDescent="0.2">
      <c r="E9">
        <f t="shared" si="2"/>
        <v>67</v>
      </c>
      <c r="F9" s="10">
        <v>100000</v>
      </c>
      <c r="G9" s="25">
        <f t="shared" si="3"/>
        <v>0.66505711362233622</v>
      </c>
      <c r="L9">
        <f t="shared" si="4"/>
        <v>56</v>
      </c>
      <c r="M9">
        <v>0</v>
      </c>
      <c r="N9" s="10">
        <f t="shared" si="5"/>
        <v>830401.25810174667</v>
      </c>
      <c r="O9" s="3">
        <f t="shared" si="0"/>
        <v>6.5325796831138275E-2</v>
      </c>
      <c r="P9" s="10">
        <f t="shared" si="1"/>
        <v>886458.95492086094</v>
      </c>
    </row>
    <row r="10" spans="2:17" x14ac:dyDescent="0.2">
      <c r="E10">
        <f t="shared" si="2"/>
        <v>68</v>
      </c>
      <c r="F10" s="10">
        <v>100000</v>
      </c>
      <c r="G10" s="25">
        <f t="shared" si="3"/>
        <v>0.62741237134182659</v>
      </c>
      <c r="J10" s="23"/>
      <c r="L10">
        <f t="shared" si="4"/>
        <v>57</v>
      </c>
      <c r="M10">
        <v>0</v>
      </c>
      <c r="N10" s="10">
        <f t="shared" si="5"/>
        <v>886458.95492086094</v>
      </c>
      <c r="O10" s="3">
        <f t="shared" si="0"/>
        <v>6.5325796831138275E-2</v>
      </c>
      <c r="P10" s="10">
        <f t="shared" si="1"/>
        <v>946300.92511625495</v>
      </c>
    </row>
    <row r="11" spans="2:17" x14ac:dyDescent="0.2">
      <c r="E11">
        <f t="shared" si="2"/>
        <v>69</v>
      </c>
      <c r="F11" s="10">
        <v>100000</v>
      </c>
      <c r="G11" s="25">
        <f t="shared" si="3"/>
        <v>0.59189846353002507</v>
      </c>
      <c r="L11">
        <f t="shared" si="4"/>
        <v>58</v>
      </c>
      <c r="M11">
        <v>0</v>
      </c>
      <c r="N11" s="10">
        <f t="shared" si="5"/>
        <v>946300.92511625495</v>
      </c>
      <c r="O11" s="3">
        <f t="shared" si="0"/>
        <v>6.5325796831138275E-2</v>
      </c>
      <c r="P11" s="10">
        <f t="shared" si="1"/>
        <v>1010182.6327151548</v>
      </c>
    </row>
    <row r="12" spans="2:17" x14ac:dyDescent="0.2">
      <c r="E12">
        <f t="shared" si="2"/>
        <v>70</v>
      </c>
      <c r="F12" s="10">
        <v>100000</v>
      </c>
      <c r="G12" s="25">
        <f t="shared" si="3"/>
        <v>0.55839477691511796</v>
      </c>
      <c r="L12">
        <f t="shared" si="4"/>
        <v>59</v>
      </c>
      <c r="M12">
        <v>0</v>
      </c>
      <c r="N12" s="10">
        <f t="shared" si="5"/>
        <v>1010182.6327151548</v>
      </c>
      <c r="O12" s="3">
        <f t="shared" si="0"/>
        <v>6.5325796831138275E-2</v>
      </c>
      <c r="P12" s="10">
        <f t="shared" si="1"/>
        <v>1078376.7872930639</v>
      </c>
    </row>
    <row r="13" spans="2:17" x14ac:dyDescent="0.2">
      <c r="E13">
        <f t="shared" si="2"/>
        <v>71</v>
      </c>
      <c r="F13" s="10">
        <v>100000</v>
      </c>
      <c r="G13" s="25">
        <f t="shared" si="3"/>
        <v>0.52678752539162066</v>
      </c>
      <c r="L13">
        <f t="shared" si="4"/>
        <v>60</v>
      </c>
      <c r="M13">
        <v>0</v>
      </c>
      <c r="N13" s="10">
        <f t="shared" si="5"/>
        <v>1078376.7872930639</v>
      </c>
      <c r="O13" s="3">
        <f t="shared" si="0"/>
        <v>6.5325796831138275E-2</v>
      </c>
      <c r="P13" s="10">
        <f t="shared" si="1"/>
        <v>1151174.5081648189</v>
      </c>
      <c r="Q13" s="6" t="b">
        <f>P13&gt;H3</f>
        <v>1</v>
      </c>
    </row>
    <row r="14" spans="2:17" x14ac:dyDescent="0.2">
      <c r="E14">
        <f t="shared" si="2"/>
        <v>72</v>
      </c>
      <c r="F14" s="10">
        <v>100000</v>
      </c>
      <c r="G14" s="25">
        <f t="shared" si="3"/>
        <v>0.49696936357700061</v>
      </c>
    </row>
    <row r="15" spans="2:17" x14ac:dyDescent="0.2">
      <c r="E15">
        <f t="shared" si="2"/>
        <v>73</v>
      </c>
      <c r="F15" s="10">
        <v>100000</v>
      </c>
      <c r="G15" s="25">
        <f t="shared" si="3"/>
        <v>0.46883902224245338</v>
      </c>
    </row>
    <row r="16" spans="2:17" x14ac:dyDescent="0.2">
      <c r="E16">
        <f t="shared" si="2"/>
        <v>74</v>
      </c>
      <c r="F16" s="10">
        <v>100000</v>
      </c>
      <c r="G16" s="25">
        <f t="shared" si="3"/>
        <v>0.44230096437967298</v>
      </c>
      <c r="M16" t="s">
        <v>76</v>
      </c>
      <c r="N16" t="s">
        <v>119</v>
      </c>
      <c r="P16" s="73" t="s">
        <v>87</v>
      </c>
    </row>
    <row r="17" spans="5:7" x14ac:dyDescent="0.2">
      <c r="E17">
        <f t="shared" si="2"/>
        <v>75</v>
      </c>
      <c r="F17" s="10">
        <v>100000</v>
      </c>
      <c r="G17" s="25">
        <f t="shared" si="3"/>
        <v>0.41726506073554054</v>
      </c>
    </row>
    <row r="18" spans="5:7" x14ac:dyDescent="0.2">
      <c r="E18">
        <f t="shared" si="2"/>
        <v>76</v>
      </c>
      <c r="F18" s="10">
        <v>100000</v>
      </c>
      <c r="G18" s="25">
        <f t="shared" si="3"/>
        <v>0.39364628371277405</v>
      </c>
    </row>
    <row r="19" spans="5:7" x14ac:dyDescent="0.2">
      <c r="E19">
        <f t="shared" si="2"/>
        <v>77</v>
      </c>
      <c r="F19" s="10">
        <v>100000</v>
      </c>
      <c r="G19" s="25">
        <f t="shared" si="3"/>
        <v>0.37136441859695662</v>
      </c>
    </row>
    <row r="20" spans="5:7" x14ac:dyDescent="0.2">
      <c r="E20">
        <f t="shared" si="2"/>
        <v>78</v>
      </c>
      <c r="F20" s="10">
        <v>100000</v>
      </c>
      <c r="G20" s="25">
        <f t="shared" si="3"/>
        <v>0.35034379112920433</v>
      </c>
    </row>
    <row r="21" spans="5:7" x14ac:dyDescent="0.2">
      <c r="E21">
        <f t="shared" si="2"/>
        <v>79</v>
      </c>
      <c r="F21" s="10">
        <v>100000</v>
      </c>
      <c r="G21" s="25">
        <f t="shared" si="3"/>
        <v>0.33051301049924936</v>
      </c>
    </row>
    <row r="22" spans="5:7" x14ac:dyDescent="0.2">
      <c r="E22">
        <f t="shared" si="2"/>
        <v>80</v>
      </c>
      <c r="F22" s="10">
        <v>100000</v>
      </c>
      <c r="G22" s="25">
        <f t="shared" si="3"/>
        <v>0.31180472688608429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5"/>
  <sheetViews>
    <sheetView topLeftCell="C64" zoomScale="80" zoomScaleNormal="80" workbookViewId="0">
      <selection activeCell="C15" sqref="C15"/>
    </sheetView>
  </sheetViews>
  <sheetFormatPr defaultRowHeight="12.75" x14ac:dyDescent="0.2"/>
  <cols>
    <col min="2" max="2" width="22.42578125" customWidth="1"/>
    <col min="3" max="3" width="27.42578125" customWidth="1"/>
    <col min="4" max="4" width="14" customWidth="1"/>
    <col min="5" max="5" width="12.28515625" customWidth="1"/>
    <col min="6" max="6" width="14.85546875" bestFit="1" customWidth="1"/>
    <col min="7" max="7" width="15.28515625" customWidth="1"/>
    <col min="8" max="8" width="13.42578125" customWidth="1"/>
    <col min="9" max="9" width="9.85546875" bestFit="1" customWidth="1"/>
    <col min="10" max="11" width="9.140625" bestFit="1" customWidth="1"/>
    <col min="12" max="12" width="14.140625" customWidth="1"/>
    <col min="13" max="13" width="12.28515625" customWidth="1"/>
    <col min="14" max="15" width="15.85546875" customWidth="1"/>
    <col min="16" max="16" width="12.7109375" bestFit="1" customWidth="1"/>
  </cols>
  <sheetData>
    <row r="1" spans="2:18" x14ac:dyDescent="0.2">
      <c r="E1" t="s">
        <v>85</v>
      </c>
    </row>
    <row r="2" spans="2:18" ht="13.5" thickBot="1" x14ac:dyDescent="0.25">
      <c r="C2" t="s">
        <v>2</v>
      </c>
      <c r="D2" s="3">
        <f>'Q1 (i)'!C3</f>
        <v>0.08</v>
      </c>
      <c r="E2" s="3">
        <f>'Q1 (i)'!D3</f>
        <v>6.4340301100034303E-3</v>
      </c>
      <c r="N2" t="s">
        <v>97</v>
      </c>
    </row>
    <row r="3" spans="2:18" x14ac:dyDescent="0.2">
      <c r="C3" t="s">
        <v>3</v>
      </c>
      <c r="D3" s="3">
        <f>'Q1 (i)'!C4</f>
        <v>0.05</v>
      </c>
      <c r="E3" s="3">
        <f>'Q1 (i)'!D4</f>
        <v>4.0741237836483535E-3</v>
      </c>
      <c r="N3" s="47" t="s">
        <v>90</v>
      </c>
      <c r="O3" s="48" t="s">
        <v>9</v>
      </c>
      <c r="P3" s="49">
        <f>J15*100000</f>
        <v>24257183.629087355</v>
      </c>
      <c r="Q3" s="50"/>
    </row>
    <row r="4" spans="2:18" x14ac:dyDescent="0.2">
      <c r="C4" t="s">
        <v>4</v>
      </c>
      <c r="D4" s="3">
        <f>'Q1 (i)'!C5</f>
        <v>0.15</v>
      </c>
      <c r="E4" s="3">
        <f>'Q1 (i)'!D5</f>
        <v>1.171491691985338E-2</v>
      </c>
      <c r="N4" s="51" t="s">
        <v>91</v>
      </c>
      <c r="O4" s="52" t="s">
        <v>11</v>
      </c>
      <c r="P4" s="60">
        <f>(1+K11)^12-1</f>
        <v>0.12639183122497122</v>
      </c>
      <c r="Q4" s="53"/>
      <c r="R4" s="45" t="s">
        <v>99</v>
      </c>
    </row>
    <row r="5" spans="2:18" x14ac:dyDescent="0.2">
      <c r="C5" t="s">
        <v>5</v>
      </c>
      <c r="D5" s="3">
        <f>'Q1 (i)'!C6</f>
        <v>6.5000000000000002E-2</v>
      </c>
      <c r="E5" s="3">
        <f>'Q1 (i)'!D6</f>
        <v>5.2616942768477504E-3</v>
      </c>
      <c r="N5" s="51" t="s">
        <v>92</v>
      </c>
      <c r="O5" s="52" t="s">
        <v>12</v>
      </c>
      <c r="P5" s="52">
        <f>L15</f>
        <v>48</v>
      </c>
      <c r="Q5" s="53" t="s">
        <v>96</v>
      </c>
    </row>
    <row r="6" spans="2:18" x14ac:dyDescent="0.2">
      <c r="N6" s="51" t="s">
        <v>93</v>
      </c>
      <c r="O6" s="52" t="s">
        <v>13</v>
      </c>
      <c r="P6" s="52">
        <f>M15</f>
        <v>55</v>
      </c>
      <c r="Q6" s="53" t="s">
        <v>96</v>
      </c>
    </row>
    <row r="7" spans="2:18" ht="13.5" thickBot="1" x14ac:dyDescent="0.25">
      <c r="B7" s="40" t="s">
        <v>179</v>
      </c>
      <c r="N7" s="54" t="s">
        <v>94</v>
      </c>
      <c r="O7" s="55" t="s">
        <v>14</v>
      </c>
      <c r="P7" s="56">
        <f>N15*100000</f>
        <v>33234443.782236047</v>
      </c>
      <c r="Q7" s="57"/>
    </row>
    <row r="8" spans="2:18" x14ac:dyDescent="0.2">
      <c r="B8" s="40"/>
      <c r="N8" s="45" t="s">
        <v>98</v>
      </c>
    </row>
    <row r="9" spans="2:18" x14ac:dyDescent="0.2">
      <c r="B9" s="40"/>
      <c r="C9" t="s">
        <v>86</v>
      </c>
      <c r="D9">
        <f>5*300</f>
        <v>1500</v>
      </c>
      <c r="E9" s="45" t="s">
        <v>87</v>
      </c>
      <c r="F9" s="44"/>
      <c r="G9" s="22"/>
    </row>
    <row r="10" spans="2:18" x14ac:dyDescent="0.2">
      <c r="B10" s="40"/>
      <c r="C10" t="s">
        <v>88</v>
      </c>
      <c r="D10">
        <f>1*5</f>
        <v>5</v>
      </c>
      <c r="E10" s="45" t="s">
        <v>82</v>
      </c>
    </row>
    <row r="11" spans="2:18" x14ac:dyDescent="0.2">
      <c r="B11" s="40"/>
      <c r="C11" t="s">
        <v>89</v>
      </c>
      <c r="D11">
        <f>10+7+5+4+2</f>
        <v>28</v>
      </c>
      <c r="E11" s="45" t="s">
        <v>82</v>
      </c>
      <c r="K11" s="6">
        <v>9.967637092613708E-3</v>
      </c>
      <c r="L11" t="s">
        <v>95</v>
      </c>
    </row>
    <row r="12" spans="2:18" x14ac:dyDescent="0.2">
      <c r="B12" s="40"/>
      <c r="J12" s="39"/>
      <c r="K12" s="39"/>
      <c r="L12" s="39"/>
      <c r="M12" s="39"/>
      <c r="N12" s="39"/>
    </row>
    <row r="13" spans="2:18" ht="14.25" x14ac:dyDescent="0.2">
      <c r="B13" s="11" t="s">
        <v>84</v>
      </c>
      <c r="C13" s="38"/>
      <c r="D13" s="38">
        <v>1</v>
      </c>
      <c r="E13" s="38">
        <v>1</v>
      </c>
      <c r="F13" s="38">
        <v>1</v>
      </c>
      <c r="G13" s="38">
        <v>1</v>
      </c>
      <c r="H13" s="38">
        <v>1</v>
      </c>
      <c r="I13" s="38">
        <v>1</v>
      </c>
      <c r="J13" s="38">
        <v>2</v>
      </c>
      <c r="K13" s="38">
        <v>1.5</v>
      </c>
      <c r="L13" s="38">
        <v>1</v>
      </c>
      <c r="M13" s="38">
        <v>1</v>
      </c>
      <c r="N13" s="38">
        <v>1</v>
      </c>
    </row>
    <row r="14" spans="2:18" ht="30" x14ac:dyDescent="0.25">
      <c r="B14" s="7" t="s">
        <v>0</v>
      </c>
      <c r="C14" s="8" t="s">
        <v>86</v>
      </c>
      <c r="D14" s="8" t="s">
        <v>6</v>
      </c>
      <c r="E14" s="8" t="s">
        <v>7</v>
      </c>
      <c r="F14" s="8" t="s">
        <v>8</v>
      </c>
      <c r="G14" s="8" t="s">
        <v>10</v>
      </c>
      <c r="H14" s="8" t="s">
        <v>13</v>
      </c>
      <c r="I14" s="8" t="s">
        <v>15</v>
      </c>
      <c r="J14" s="8" t="s">
        <v>9</v>
      </c>
      <c r="K14" s="8" t="s">
        <v>11</v>
      </c>
      <c r="L14" s="8" t="s">
        <v>12</v>
      </c>
      <c r="M14" s="8" t="s">
        <v>13</v>
      </c>
      <c r="N14" s="8" t="s">
        <v>14</v>
      </c>
    </row>
    <row r="15" spans="2:18" x14ac:dyDescent="0.2">
      <c r="B15">
        <f>0</f>
        <v>0</v>
      </c>
      <c r="C15" s="33">
        <f>-1500</f>
        <v>-1500</v>
      </c>
      <c r="F15" s="43">
        <f>C15-D15+E15</f>
        <v>-1500</v>
      </c>
      <c r="G15" s="43">
        <f>F15</f>
        <v>-1500</v>
      </c>
      <c r="H15" s="43">
        <f>F15</f>
        <v>-1500</v>
      </c>
      <c r="I15" s="43">
        <f>F15</f>
        <v>-1500</v>
      </c>
      <c r="J15" s="43">
        <f t="shared" ref="J15:J46" si="0">F15+J16/(1+$E$5)</f>
        <v>242.57183629087353</v>
      </c>
      <c r="K15" s="43">
        <f t="shared" ref="K15:K46" si="1">F15+K16/(1+$K$11)</f>
        <v>7.2395123879687162E-5</v>
      </c>
      <c r="L15">
        <f>B63</f>
        <v>48</v>
      </c>
      <c r="M15">
        <f>B70</f>
        <v>55</v>
      </c>
      <c r="N15" s="43">
        <f>I75</f>
        <v>332.34443782236048</v>
      </c>
    </row>
    <row r="16" spans="2:18" x14ac:dyDescent="0.2">
      <c r="B16">
        <f>B15+1</f>
        <v>1</v>
      </c>
      <c r="D16" s="41">
        <f>D10</f>
        <v>5</v>
      </c>
      <c r="E16" s="42">
        <f>D11</f>
        <v>28</v>
      </c>
      <c r="F16" s="43">
        <f t="shared" ref="F16:F75" si="2">C16-D16+E16</f>
        <v>23</v>
      </c>
      <c r="G16" s="43">
        <f>G15+F16</f>
        <v>-1477</v>
      </c>
      <c r="H16" s="43">
        <f>H15*(1+$E$2)+F16</f>
        <v>-1486.6510451650051</v>
      </c>
      <c r="I16" s="43">
        <f>I15*(1+$E$5)+F16</f>
        <v>-1484.8925414152716</v>
      </c>
      <c r="J16" s="43">
        <f t="shared" si="0"/>
        <v>1751.7407165488812</v>
      </c>
      <c r="K16" s="43">
        <f t="shared" si="1"/>
        <v>1514.9515287556526</v>
      </c>
    </row>
    <row r="17" spans="2:11" x14ac:dyDescent="0.2">
      <c r="B17">
        <f t="shared" ref="B17:B75" si="3">B16+1</f>
        <v>2</v>
      </c>
      <c r="D17" s="4">
        <f>D16*(1+$E$3)</f>
        <v>5.0203706189182418</v>
      </c>
      <c r="E17" s="5">
        <f>E16*(1+$E$4)</f>
        <v>28.328017673755895</v>
      </c>
      <c r="F17" s="43">
        <f t="shared" si="2"/>
        <v>23.307647054837652</v>
      </c>
      <c r="G17" s="43">
        <f t="shared" ref="G17:G75" si="4">G16+F17</f>
        <v>-1453.6923529451624</v>
      </c>
      <c r="H17" s="43">
        <f t="shared" ref="H17:H75" si="5">H16*(1+$E$2)+F17</f>
        <v>-1472.9085556978273</v>
      </c>
      <c r="I17" s="43">
        <f t="shared" ref="I17:I75" si="6">I16*(1+$E$5)+F17</f>
        <v>-1469.3979449473327</v>
      </c>
      <c r="J17" s="43">
        <f t="shared" si="0"/>
        <v>1737.8368216833001</v>
      </c>
      <c r="K17" s="43">
        <f t="shared" si="1"/>
        <v>1506.8227601540591</v>
      </c>
    </row>
    <row r="18" spans="2:11" x14ac:dyDescent="0.2">
      <c r="B18">
        <f t="shared" si="3"/>
        <v>3</v>
      </c>
      <c r="D18" s="4">
        <f t="shared" ref="D18:D75" si="7">D17*(1+$E$3)</f>
        <v>5.0408242302595063</v>
      </c>
      <c r="E18" s="5">
        <f t="shared" ref="E18:E75" si="8">E17*(1+$E$4)</f>
        <v>28.659878047308084</v>
      </c>
      <c r="F18" s="43">
        <f t="shared" si="2"/>
        <v>23.619053817048577</v>
      </c>
      <c r="G18" s="43">
        <f t="shared" si="4"/>
        <v>-1430.0732991281138</v>
      </c>
      <c r="H18" s="43">
        <f t="shared" si="5"/>
        <v>-1458.7662398774203</v>
      </c>
      <c r="I18" s="43">
        <f t="shared" si="6"/>
        <v>-1453.5104138876254</v>
      </c>
      <c r="J18" s="43">
        <f t="shared" si="0"/>
        <v>1723.5505029740934</v>
      </c>
      <c r="K18" s="43">
        <f t="shared" si="1"/>
        <v>1498.3022533680021</v>
      </c>
    </row>
    <row r="19" spans="2:11" x14ac:dyDescent="0.2">
      <c r="B19">
        <f t="shared" si="3"/>
        <v>4</v>
      </c>
      <c r="D19" s="4">
        <f t="shared" si="7"/>
        <v>5.0613611721451974</v>
      </c>
      <c r="E19" s="5">
        <f t="shared" si="8"/>
        <v>28.995626137565427</v>
      </c>
      <c r="F19" s="43">
        <f t="shared" si="2"/>
        <v>23.93426496542023</v>
      </c>
      <c r="G19" s="43">
        <f t="shared" si="4"/>
        <v>-1406.1390341626936</v>
      </c>
      <c r="H19" s="43">
        <f t="shared" si="5"/>
        <v>-1444.2177208228279</v>
      </c>
      <c r="I19" s="43">
        <f t="shared" si="6"/>
        <v>-1437.2240763482964</v>
      </c>
      <c r="J19" s="43">
        <f t="shared" si="0"/>
        <v>1708.875968734108</v>
      </c>
      <c r="K19" s="43">
        <f t="shared" si="1"/>
        <v>1489.3823065106517</v>
      </c>
    </row>
    <row r="20" spans="2:11" x14ac:dyDescent="0.2">
      <c r="B20">
        <f t="shared" si="3"/>
        <v>5</v>
      </c>
      <c r="D20" s="4">
        <f t="shared" si="7"/>
        <v>5.0819817840742685</v>
      </c>
      <c r="E20" s="5">
        <f t="shared" si="8"/>
        <v>29.335307488806134</v>
      </c>
      <c r="F20" s="43">
        <f t="shared" si="2"/>
        <v>24.253325704731864</v>
      </c>
      <c r="G20" s="43">
        <f t="shared" si="4"/>
        <v>-1381.8857084579618</v>
      </c>
      <c r="H20" s="43">
        <f t="shared" si="5"/>
        <v>-1429.2565354192707</v>
      </c>
      <c r="I20" s="43">
        <f t="shared" si="6"/>
        <v>-1420.5329843406341</v>
      </c>
      <c r="J20" s="43">
        <f t="shared" si="0"/>
        <v>1693.8073518882297</v>
      </c>
      <c r="K20" s="43">
        <f t="shared" si="1"/>
        <v>1480.0550958014358</v>
      </c>
    </row>
    <row r="21" spans="2:11" x14ac:dyDescent="0.2">
      <c r="B21">
        <f t="shared" si="3"/>
        <v>6</v>
      </c>
      <c r="D21" s="4">
        <f t="shared" si="7"/>
        <v>5.1026864069288331</v>
      </c>
      <c r="E21" s="5">
        <f t="shared" si="8"/>
        <v>29.67896817885585</v>
      </c>
      <c r="F21" s="43">
        <f t="shared" si="2"/>
        <v>24.576281771927018</v>
      </c>
      <c r="G21" s="43">
        <f t="shared" si="4"/>
        <v>-1357.3094266860348</v>
      </c>
      <c r="H21" s="43">
        <f t="shared" si="5"/>
        <v>-1413.8761332311506</v>
      </c>
      <c r="I21" s="43">
        <f t="shared" si="6"/>
        <v>-1403.4311128424858</v>
      </c>
      <c r="J21" s="43">
        <f t="shared" si="0"/>
        <v>1678.3387090479557</v>
      </c>
      <c r="K21" s="43">
        <f t="shared" si="1"/>
        <v>1470.3126738198123</v>
      </c>
    </row>
    <row r="22" spans="2:11" x14ac:dyDescent="0.2">
      <c r="B22">
        <f t="shared" si="3"/>
        <v>7</v>
      </c>
      <c r="D22" s="4">
        <f t="shared" si="7"/>
        <v>5.1234753829798008</v>
      </c>
      <c r="E22" s="5">
        <f t="shared" si="8"/>
        <v>30.02665482533812</v>
      </c>
      <c r="F22" s="43">
        <f t="shared" si="2"/>
        <v>24.903179442358319</v>
      </c>
      <c r="G22" s="43">
        <f t="shared" si="4"/>
        <v>-1332.4062472436765</v>
      </c>
      <c r="H22" s="43">
        <f t="shared" si="5"/>
        <v>-1398.0698754018167</v>
      </c>
      <c r="I22" s="43">
        <f t="shared" si="6"/>
        <v>-1385.9123588545208</v>
      </c>
      <c r="J22" s="43">
        <f t="shared" si="0"/>
        <v>1662.464019574893</v>
      </c>
      <c r="K22" s="43">
        <f t="shared" si="1"/>
        <v>1460.1469677354032</v>
      </c>
    </row>
    <row r="23" spans="2:11" x14ac:dyDescent="0.2">
      <c r="B23">
        <f t="shared" si="3"/>
        <v>8</v>
      </c>
      <c r="D23" s="4">
        <f t="shared" si="7"/>
        <v>5.144349055892536</v>
      </c>
      <c r="E23" s="5">
        <f t="shared" si="8"/>
        <v>30.378414591998069</v>
      </c>
      <c r="F23" s="43">
        <f t="shared" si="2"/>
        <v>25.234065536105533</v>
      </c>
      <c r="G23" s="43">
        <f t="shared" si="4"/>
        <v>-1307.1721817075709</v>
      </c>
      <c r="H23" s="43">
        <f t="shared" si="5"/>
        <v>-1381.8310335399351</v>
      </c>
      <c r="I23" s="43">
        <f t="shared" si="6"/>
        <v>-1367.9705404452125</v>
      </c>
      <c r="J23" s="43">
        <f t="shared" si="0"/>
        <v>1646.17718463305</v>
      </c>
      <c r="K23" s="43">
        <f t="shared" si="1"/>
        <v>1449.549777514178</v>
      </c>
    </row>
    <row r="24" spans="2:11" x14ac:dyDescent="0.2">
      <c r="B24">
        <f t="shared" si="3"/>
        <v>9</v>
      </c>
      <c r="D24" s="4">
        <f t="shared" si="7"/>
        <v>5.1653077707325368</v>
      </c>
      <c r="E24" s="5">
        <f t="shared" si="8"/>
        <v>30.734295195100188</v>
      </c>
      <c r="F24" s="43">
        <f t="shared" si="2"/>
        <v>25.568987424367652</v>
      </c>
      <c r="G24" s="43">
        <f t="shared" si="4"/>
        <v>-1281.6031942832033</v>
      </c>
      <c r="H24" s="43">
        <f t="shared" si="5"/>
        <v>-1365.1527885923006</v>
      </c>
      <c r="I24" s="43">
        <f t="shared" si="6"/>
        <v>-1349.5993957844018</v>
      </c>
      <c r="J24" s="43">
        <f t="shared" si="0"/>
        <v>1629.4720262297926</v>
      </c>
      <c r="K24" s="43">
        <f t="shared" si="1"/>
        <v>1438.5127741003773</v>
      </c>
    </row>
    <row r="25" spans="2:11" x14ac:dyDescent="0.2">
      <c r="B25">
        <f t="shared" si="3"/>
        <v>10</v>
      </c>
      <c r="D25" s="4">
        <f t="shared" si="7"/>
        <v>5.1863518739711418</v>
      </c>
      <c r="E25" s="5">
        <f t="shared" si="8"/>
        <v>31.094344909901036</v>
      </c>
      <c r="F25" s="43">
        <f t="shared" si="2"/>
        <v>25.907993035929895</v>
      </c>
      <c r="G25" s="43">
        <f t="shared" si="4"/>
        <v>-1255.6952012472734</v>
      </c>
      <c r="H25" s="43">
        <f t="shared" si="5"/>
        <v>-1348.0282297029287</v>
      </c>
      <c r="I25" s="43">
        <f t="shared" si="6"/>
        <v>-1330.792582165308</v>
      </c>
      <c r="J25" s="43">
        <f t="shared" si="0"/>
        <v>1612.3422862453262</v>
      </c>
      <c r="K25" s="43">
        <f t="shared" si="1"/>
        <v>1427.0274975738594</v>
      </c>
    </row>
    <row r="26" spans="2:11" x14ac:dyDescent="0.2">
      <c r="B26">
        <f t="shared" si="3"/>
        <v>11</v>
      </c>
      <c r="D26" s="4">
        <f t="shared" si="7"/>
        <v>5.2074817134912568</v>
      </c>
      <c r="E26" s="5">
        <f t="shared" si="8"/>
        <v>31.458612577197794</v>
      </c>
      <c r="F26" s="43">
        <f t="shared" si="2"/>
        <v>26.251130863706535</v>
      </c>
      <c r="G26" s="43">
        <f t="shared" si="4"/>
        <v>-1229.4440703835669</v>
      </c>
      <c r="H26" s="43">
        <f t="shared" si="5"/>
        <v>-1330.4503530582654</v>
      </c>
      <c r="I26" s="43">
        <f t="shared" si="6"/>
        <v>-1311.5436750148522</v>
      </c>
      <c r="J26" s="43">
        <f t="shared" si="0"/>
        <v>1594.7816254505713</v>
      </c>
      <c r="K26" s="43">
        <f t="shared" si="1"/>
        <v>1415.0853552825463</v>
      </c>
    </row>
    <row r="27" spans="2:11" x14ac:dyDescent="0.2">
      <c r="B27">
        <f t="shared" si="3"/>
        <v>12</v>
      </c>
      <c r="D27" s="4">
        <f t="shared" si="7"/>
        <v>5.228697638593105</v>
      </c>
      <c r="E27" s="5">
        <f t="shared" si="8"/>
        <v>31.827147609953521</v>
      </c>
      <c r="F27" s="43">
        <f t="shared" si="2"/>
        <v>26.598449971360417</v>
      </c>
      <c r="G27" s="43">
        <f t="shared" si="4"/>
        <v>-1202.8456204122065</v>
      </c>
      <c r="H27" s="43">
        <f t="shared" si="5"/>
        <v>-1312.4120607183465</v>
      </c>
      <c r="I27" s="43">
        <f t="shared" si="6"/>
        <v>-1291.8461668921532</v>
      </c>
      <c r="J27" s="43">
        <f t="shared" si="0"/>
        <v>1576.7836225132937</v>
      </c>
      <c r="K27" s="43">
        <f t="shared" si="1"/>
        <v>1402.6776199496483</v>
      </c>
    </row>
    <row r="28" spans="2:11" x14ac:dyDescent="0.2">
      <c r="B28">
        <f t="shared" si="3"/>
        <v>13</v>
      </c>
      <c r="D28" s="4">
        <f t="shared" si="7"/>
        <v>5.2500000000000036</v>
      </c>
      <c r="E28" s="5">
        <f t="shared" si="8"/>
        <v>32.200000000000038</v>
      </c>
      <c r="F28" s="43">
        <f t="shared" si="2"/>
        <v>26.950000000000035</v>
      </c>
      <c r="G28" s="43">
        <f t="shared" si="4"/>
        <v>-1175.8956204122064</v>
      </c>
      <c r="H28" s="43">
        <f t="shared" si="5"/>
        <v>-1293.90615943374</v>
      </c>
      <c r="I28" s="43">
        <f t="shared" si="6"/>
        <v>-1271.6934664750572</v>
      </c>
      <c r="J28" s="43">
        <f t="shared" si="0"/>
        <v>1558.3417729923515</v>
      </c>
      <c r="K28" s="43">
        <f t="shared" si="1"/>
        <v>1389.7954277553363</v>
      </c>
    </row>
    <row r="29" spans="2:11" x14ac:dyDescent="0.2">
      <c r="B29">
        <f t="shared" si="3"/>
        <v>14</v>
      </c>
      <c r="D29" s="4">
        <f t="shared" si="7"/>
        <v>5.2713891498641576</v>
      </c>
      <c r="E29" s="5">
        <f t="shared" si="8"/>
        <v>32.577220324819315</v>
      </c>
      <c r="F29" s="43">
        <f t="shared" si="2"/>
        <v>27.305831174955159</v>
      </c>
      <c r="G29" s="43">
        <f t="shared" si="4"/>
        <v>-1148.5897892372514</v>
      </c>
      <c r="H29" s="43">
        <f t="shared" si="5"/>
        <v>-1274.9253594481004</v>
      </c>
      <c r="I29" s="43">
        <f t="shared" si="6"/>
        <v>-1251.0788975345586</v>
      </c>
      <c r="J29" s="43">
        <f t="shared" si="0"/>
        <v>1539.449488319917</v>
      </c>
      <c r="K29" s="43">
        <f t="shared" si="1"/>
        <v>1376.4297763925292</v>
      </c>
    </row>
    <row r="30" spans="2:11" x14ac:dyDescent="0.2">
      <c r="B30">
        <f t="shared" si="3"/>
        <v>15</v>
      </c>
      <c r="D30" s="4">
        <f t="shared" si="7"/>
        <v>5.2928654417724852</v>
      </c>
      <c r="E30" s="5">
        <f t="shared" si="8"/>
        <v>32.95885975440433</v>
      </c>
      <c r="F30" s="43">
        <f t="shared" si="2"/>
        <v>27.665994312631845</v>
      </c>
      <c r="G30" s="43">
        <f t="shared" si="4"/>
        <v>-1120.9237949246194</v>
      </c>
      <c r="H30" s="43">
        <f t="shared" si="5"/>
        <v>-1255.4622732861644</v>
      </c>
      <c r="I30" s="43">
        <f t="shared" si="6"/>
        <v>-1229.9956978969692</v>
      </c>
      <c r="J30" s="43">
        <f t="shared" si="0"/>
        <v>1520.1000947715331</v>
      </c>
      <c r="K30" s="43">
        <f t="shared" si="1"/>
        <v>1362.5715230964581</v>
      </c>
    </row>
    <row r="31" spans="2:11" x14ac:dyDescent="0.2">
      <c r="B31">
        <f t="shared" si="3"/>
        <v>16</v>
      </c>
      <c r="D31" s="4">
        <f t="shared" si="7"/>
        <v>5.3144292307524612</v>
      </c>
      <c r="E31" s="5">
        <f t="shared" si="8"/>
        <v>33.344970058200275</v>
      </c>
      <c r="F31" s="43">
        <f t="shared" si="2"/>
        <v>28.030540827447815</v>
      </c>
      <c r="G31" s="43">
        <f t="shared" si="4"/>
        <v>-1092.8932540971716</v>
      </c>
      <c r="H31" s="43">
        <f t="shared" si="5"/>
        <v>-1235.5094145270132</v>
      </c>
      <c r="I31" s="43">
        <f t="shared" si="6"/>
        <v>-1208.4370183936933</v>
      </c>
      <c r="J31" s="43">
        <f t="shared" si="0"/>
        <v>1500.2868324238582</v>
      </c>
      <c r="K31" s="43">
        <f t="shared" si="1"/>
        <v>1348.2113826476668</v>
      </c>
    </row>
    <row r="32" spans="2:11" x14ac:dyDescent="0.2">
      <c r="B32">
        <f t="shared" si="3"/>
        <v>17</v>
      </c>
      <c r="D32" s="4">
        <f t="shared" si="7"/>
        <v>5.3360808732779859</v>
      </c>
      <c r="E32" s="5">
        <f t="shared" si="8"/>
        <v>33.735603612127086</v>
      </c>
      <c r="F32" s="43">
        <f t="shared" si="2"/>
        <v>28.3995227388491</v>
      </c>
      <c r="G32" s="43">
        <f t="shared" si="4"/>
        <v>-1064.4937313583225</v>
      </c>
      <c r="H32" s="43">
        <f t="shared" si="5"/>
        <v>-1215.0591965624235</v>
      </c>
      <c r="I32" s="43">
        <f t="shared" si="6"/>
        <v>-1186.3959217984573</v>
      </c>
      <c r="J32" s="43">
        <f t="shared" si="0"/>
        <v>1480.0028540999563</v>
      </c>
      <c r="K32" s="43">
        <f t="shared" si="1"/>
        <v>1333.3399253481041</v>
      </c>
    </row>
    <row r="33" spans="2:11" x14ac:dyDescent="0.2">
      <c r="B33">
        <f t="shared" si="3"/>
        <v>18</v>
      </c>
      <c r="D33" s="4">
        <f t="shared" si="7"/>
        <v>5.3578207272752785</v>
      </c>
      <c r="E33" s="5">
        <f t="shared" si="8"/>
        <v>34.130813405684258</v>
      </c>
      <c r="F33" s="43">
        <f t="shared" si="2"/>
        <v>28.772992678408979</v>
      </c>
      <c r="G33" s="43">
        <f t="shared" si="4"/>
        <v>-1035.7207386799134</v>
      </c>
      <c r="H33" s="43">
        <f t="shared" si="5"/>
        <v>-1194.1039313401336</v>
      </c>
      <c r="I33" s="43">
        <f t="shared" si="6"/>
        <v>-1163.8653817518507</v>
      </c>
      <c r="J33" s="43">
        <f t="shared" si="0"/>
        <v>1459.241224301983</v>
      </c>
      <c r="K33" s="43">
        <f t="shared" si="1"/>
        <v>1317.9475749699532</v>
      </c>
    </row>
    <row r="34" spans="2:11" x14ac:dyDescent="0.2">
      <c r="B34">
        <f t="shared" si="3"/>
        <v>19</v>
      </c>
      <c r="D34" s="4">
        <f t="shared" si="7"/>
        <v>5.3796491521287946</v>
      </c>
      <c r="E34" s="5">
        <f t="shared" si="8"/>
        <v>34.53065304913887</v>
      </c>
      <c r="F34" s="43">
        <f t="shared" si="2"/>
        <v>29.151003897010074</v>
      </c>
      <c r="G34" s="43">
        <f t="shared" si="4"/>
        <v>-1006.5697347829033</v>
      </c>
      <c r="H34" s="43">
        <f t="shared" si="5"/>
        <v>-1172.6358280918396</v>
      </c>
      <c r="I34" s="43">
        <f t="shared" si="6"/>
        <v>-1140.8382816730257</v>
      </c>
      <c r="J34" s="43">
        <f t="shared" si="0"/>
        <v>1437.9949181311201</v>
      </c>
      <c r="K34" s="43">
        <f t="shared" si="1"/>
        <v>1302.024606676848</v>
      </c>
    </row>
    <row r="35" spans="2:11" x14ac:dyDescent="0.2">
      <c r="B35">
        <f t="shared" si="3"/>
        <v>20</v>
      </c>
      <c r="D35" s="4">
        <f t="shared" si="7"/>
        <v>5.401566508687166</v>
      </c>
      <c r="E35" s="5">
        <f t="shared" si="8"/>
        <v>34.935176780797811</v>
      </c>
      <c r="F35" s="43">
        <f t="shared" si="2"/>
        <v>29.533610272110643</v>
      </c>
      <c r="G35" s="43">
        <f t="shared" si="4"/>
        <v>-977.03612451079266</v>
      </c>
      <c r="H35" s="43">
        <f t="shared" si="5"/>
        <v>-1150.6469920457407</v>
      </c>
      <c r="I35" s="43">
        <f t="shared" si="6"/>
        <v>-1117.307413658403</v>
      </c>
      <c r="J35" s="43">
        <f t="shared" si="0"/>
        <v>1416.2568201946076</v>
      </c>
      <c r="K35" s="43">
        <f t="shared" si="1"/>
        <v>1285.5611449171149</v>
      </c>
    </row>
    <row r="36" spans="2:11" x14ac:dyDescent="0.2">
      <c r="B36">
        <f t="shared" si="3"/>
        <v>21</v>
      </c>
      <c r="D36" s="4">
        <f t="shared" si="7"/>
        <v>5.4235731592691669</v>
      </c>
      <c r="E36" s="5">
        <f t="shared" si="8"/>
        <v>35.344439474365245</v>
      </c>
      <c r="F36" s="43">
        <f t="shared" si="2"/>
        <v>29.920866315096077</v>
      </c>
      <c r="G36" s="43">
        <f t="shared" si="4"/>
        <v>-947.11525819569658</v>
      </c>
      <c r="H36" s="43">
        <f t="shared" si="5"/>
        <v>-1128.1294231234519</v>
      </c>
      <c r="I36" s="43">
        <f t="shared" si="6"/>
        <v>-1093.265477367233</v>
      </c>
      <c r="J36" s="43">
        <f t="shared" si="0"/>
        <v>1394.0197234997181</v>
      </c>
      <c r="K36" s="43">
        <f t="shared" si="1"/>
        <v>1268.5471612886759</v>
      </c>
    </row>
    <row r="37" spans="2:11" x14ac:dyDescent="0.2">
      <c r="B37">
        <f t="shared" si="3"/>
        <v>22</v>
      </c>
      <c r="D37" s="4">
        <f t="shared" si="7"/>
        <v>5.4456694676697026</v>
      </c>
      <c r="E37" s="5">
        <f t="shared" si="8"/>
        <v>35.75849664638622</v>
      </c>
      <c r="F37" s="43">
        <f t="shared" si="2"/>
        <v>30.312827178716518</v>
      </c>
      <c r="G37" s="43">
        <f t="shared" si="4"/>
        <v>-916.80243101698011</v>
      </c>
      <c r="H37" s="43">
        <f t="shared" si="5"/>
        <v>-1105.0750146210924</v>
      </c>
      <c r="I37" s="43">
        <f t="shared" si="6"/>
        <v>-1068.7050788938548</v>
      </c>
      <c r="J37" s="43">
        <f t="shared" si="0"/>
        <v>1371.276328334525</v>
      </c>
      <c r="K37" s="43">
        <f t="shared" si="1"/>
        <v>1250.9724723752449</v>
      </c>
    </row>
    <row r="38" spans="2:11" x14ac:dyDescent="0.2">
      <c r="B38">
        <f t="shared" si="3"/>
        <v>23</v>
      </c>
      <c r="D38" s="4">
        <f t="shared" si="7"/>
        <v>5.4678557991658234</v>
      </c>
      <c r="E38" s="5">
        <f t="shared" si="8"/>
        <v>36.177404463777492</v>
      </c>
      <c r="F38" s="43">
        <f t="shared" si="2"/>
        <v>30.709548664611667</v>
      </c>
      <c r="G38" s="43">
        <f t="shared" si="4"/>
        <v>-886.09288235236841</v>
      </c>
      <c r="H38" s="43">
        <f t="shared" si="5"/>
        <v>-1081.4755518743652</v>
      </c>
      <c r="I38" s="43">
        <f t="shared" si="6"/>
        <v>-1043.618729626497</v>
      </c>
      <c r="J38" s="43">
        <f t="shared" si="0"/>
        <v>1348.0192411353016</v>
      </c>
      <c r="K38" s="43">
        <f t="shared" si="1"/>
        <v>1232.8267375534458</v>
      </c>
    </row>
    <row r="39" spans="2:11" x14ac:dyDescent="0.2">
      <c r="B39">
        <f t="shared" si="3"/>
        <v>24</v>
      </c>
      <c r="D39" s="4">
        <f t="shared" si="7"/>
        <v>5.4901325205227645</v>
      </c>
      <c r="E39" s="5">
        <f t="shared" si="8"/>
        <v>36.601219751446578</v>
      </c>
      <c r="F39" s="43">
        <f t="shared" si="2"/>
        <v>31.111087230923815</v>
      </c>
      <c r="G39" s="43">
        <f t="shared" si="4"/>
        <v>-854.98179512144463</v>
      </c>
      <c r="H39" s="43">
        <f t="shared" si="5"/>
        <v>-1057.3227109074337</v>
      </c>
      <c r="I39" s="43">
        <f t="shared" si="6"/>
        <v>-1017.9988450924601</v>
      </c>
      <c r="J39" s="43">
        <f t="shared" si="0"/>
        <v>1324.240973340399</v>
      </c>
      <c r="K39" s="43">
        <f t="shared" si="1"/>
        <v>1214.0994567704709</v>
      </c>
    </row>
    <row r="40" spans="2:11" x14ac:dyDescent="0.2">
      <c r="B40">
        <f t="shared" si="3"/>
        <v>25</v>
      </c>
      <c r="D40" s="4">
        <f t="shared" si="7"/>
        <v>5.5125000000000073</v>
      </c>
      <c r="E40" s="5">
        <f t="shared" si="8"/>
        <v>37.030000000000072</v>
      </c>
      <c r="F40" s="43">
        <f t="shared" si="2"/>
        <v>31.517500000000066</v>
      </c>
      <c r="G40" s="43">
        <f t="shared" si="4"/>
        <v>-823.46429512144459</v>
      </c>
      <c r="H40" s="43">
        <f t="shared" si="5"/>
        <v>-1032.6080570654024</v>
      </c>
      <c r="I40" s="43">
        <f t="shared" si="6"/>
        <v>-991.83774378952069</v>
      </c>
      <c r="J40" s="43">
        <f t="shared" si="0"/>
        <v>1299.9339402304381</v>
      </c>
      <c r="K40" s="43">
        <f t="shared" si="1"/>
        <v>1194.7799682918999</v>
      </c>
    </row>
    <row r="41" spans="2:11" x14ac:dyDescent="0.2">
      <c r="B41">
        <f t="shared" si="3"/>
        <v>26</v>
      </c>
      <c r="D41" s="4">
        <f t="shared" si="7"/>
        <v>5.5349586073573684</v>
      </c>
      <c r="E41" s="5">
        <f t="shared" si="8"/>
        <v>37.463803373542241</v>
      </c>
      <c r="F41" s="43">
        <f t="shared" si="2"/>
        <v>31.928844766184874</v>
      </c>
      <c r="G41" s="43">
        <f t="shared" si="4"/>
        <v>-791.53545035525974</v>
      </c>
      <c r="H41" s="43">
        <f t="shared" si="5"/>
        <v>-1007.3230436302084</v>
      </c>
      <c r="I41" s="43">
        <f t="shared" si="6"/>
        <v>-965.12764600339472</v>
      </c>
      <c r="J41" s="43">
        <f t="shared" si="0"/>
        <v>1275.090459754658</v>
      </c>
      <c r="K41" s="43">
        <f t="shared" si="1"/>
        <v>1174.8574464192914</v>
      </c>
    </row>
    <row r="42" spans="2:11" x14ac:dyDescent="0.2">
      <c r="B42">
        <f t="shared" si="3"/>
        <v>27</v>
      </c>
      <c r="D42" s="4">
        <f t="shared" si="7"/>
        <v>5.5575087138611119</v>
      </c>
      <c r="E42" s="5">
        <f t="shared" si="8"/>
        <v>37.902688717565013</v>
      </c>
      <c r="F42" s="43">
        <f t="shared" si="2"/>
        <v>32.345180003703902</v>
      </c>
      <c r="G42" s="43">
        <f t="shared" si="4"/>
        <v>-759.1902703515558</v>
      </c>
      <c r="H42" s="43">
        <f t="shared" si="5"/>
        <v>-981.45901041972149</v>
      </c>
      <c r="I42" s="43">
        <f t="shared" si="6"/>
        <v>-937.8606726110944</v>
      </c>
      <c r="J42" s="43">
        <f t="shared" si="0"/>
        <v>1249.7027513432547</v>
      </c>
      <c r="K42" s="43">
        <f t="shared" si="1"/>
        <v>1154.320899177153</v>
      </c>
    </row>
    <row r="43" spans="2:11" x14ac:dyDescent="0.2">
      <c r="B43">
        <f t="shared" si="3"/>
        <v>28</v>
      </c>
      <c r="D43" s="4">
        <f t="shared" si="7"/>
        <v>5.5801506922900863</v>
      </c>
      <c r="E43" s="5">
        <f t="shared" si="8"/>
        <v>38.346715566930349</v>
      </c>
      <c r="F43" s="43">
        <f t="shared" si="2"/>
        <v>32.766564874640267</v>
      </c>
      <c r="G43" s="43">
        <f t="shared" si="4"/>
        <v>-726.42370547691553</v>
      </c>
      <c r="H43" s="43">
        <f t="shared" si="5"/>
        <v>-955.00718236985585</v>
      </c>
      <c r="I43" s="43">
        <f t="shared" si="6"/>
        <v>-910.02884387001257</v>
      </c>
      <c r="J43" s="43">
        <f t="shared" si="0"/>
        <v>1223.7629347055454</v>
      </c>
      <c r="K43" s="43">
        <f t="shared" si="1"/>
        <v>1133.1591659688943</v>
      </c>
    </row>
    <row r="44" spans="2:11" x14ac:dyDescent="0.2">
      <c r="B44">
        <f t="shared" si="3"/>
        <v>29</v>
      </c>
      <c r="D44" s="4">
        <f t="shared" si="7"/>
        <v>5.6028849169418873</v>
      </c>
      <c r="E44" s="5">
        <f t="shared" si="8"/>
        <v>38.795944153946188</v>
      </c>
      <c r="F44" s="43">
        <f t="shared" si="2"/>
        <v>33.193059237004299</v>
      </c>
      <c r="G44" s="43">
        <f t="shared" si="4"/>
        <v>-693.23064623991127</v>
      </c>
      <c r="H44" s="43">
        <f t="shared" si="5"/>
        <v>-927.95866809948882</v>
      </c>
      <c r="I44" s="43">
        <f t="shared" si="6"/>
        <v>-881.62407819256555</v>
      </c>
      <c r="J44" s="43">
        <f t="shared" si="0"/>
        <v>1197.263028613791</v>
      </c>
      <c r="K44" s="43">
        <f t="shared" si="1"/>
        <v>1111.3609152013585</v>
      </c>
    </row>
    <row r="45" spans="2:11" x14ac:dyDescent="0.2">
      <c r="B45">
        <f t="shared" si="3"/>
        <v>30</v>
      </c>
      <c r="D45" s="4">
        <f t="shared" si="7"/>
        <v>5.6257117636390452</v>
      </c>
      <c r="E45" s="5">
        <f t="shared" si="8"/>
        <v>39.250435416536938</v>
      </c>
      <c r="F45" s="43">
        <f t="shared" si="2"/>
        <v>33.624723652897892</v>
      </c>
      <c r="G45" s="43">
        <f t="shared" si="4"/>
        <v>-659.60592258701342</v>
      </c>
      <c r="H45" s="43">
        <f t="shared" si="5"/>
        <v>-900.30445845798181</v>
      </c>
      <c r="I45" s="43">
        <f t="shared" si="6"/>
        <v>-852.63819090622474</v>
      </c>
      <c r="J45" s="43">
        <f t="shared" si="0"/>
        <v>1170.1949496725069</v>
      </c>
      <c r="K45" s="43">
        <f t="shared" si="1"/>
        <v>1088.9146418775281</v>
      </c>
    </row>
    <row r="46" spans="2:11" x14ac:dyDescent="0.2">
      <c r="B46">
        <f t="shared" si="3"/>
        <v>31</v>
      </c>
      <c r="D46" s="4">
        <f t="shared" si="7"/>
        <v>5.6486316097352374</v>
      </c>
      <c r="E46" s="5">
        <f t="shared" si="8"/>
        <v>39.710251006509736</v>
      </c>
      <c r="F46" s="43">
        <f t="shared" si="2"/>
        <v>34.061619396774496</v>
      </c>
      <c r="G46" s="43">
        <f t="shared" si="4"/>
        <v>-625.54430319023891</v>
      </c>
      <c r="H46" s="43">
        <f t="shared" si="5"/>
        <v>-872.03542505509631</v>
      </c>
      <c r="I46" s="43">
        <f t="shared" si="6"/>
        <v>-823.06289299876335</v>
      </c>
      <c r="J46" s="43">
        <f t="shared" si="0"/>
        <v>1142.5505110730919</v>
      </c>
      <c r="K46" s="43">
        <f t="shared" si="1"/>
        <v>1065.8086651569872</v>
      </c>
    </row>
    <row r="47" spans="2:11" x14ac:dyDescent="0.2">
      <c r="B47">
        <f t="shared" si="3"/>
        <v>32</v>
      </c>
      <c r="D47" s="4">
        <f t="shared" si="7"/>
        <v>5.671644834121528</v>
      </c>
      <c r="E47" s="5">
        <f t="shared" si="8"/>
        <v>40.175453297917521</v>
      </c>
      <c r="F47" s="43">
        <f t="shared" si="2"/>
        <v>34.503808463795991</v>
      </c>
      <c r="G47" s="43">
        <f t="shared" si="4"/>
        <v>-591.04049472644294</v>
      </c>
      <c r="H47" s="43">
        <f t="shared" si="5"/>
        <v>-843.14231877309453</v>
      </c>
      <c r="I47" s="43">
        <f t="shared" si="6"/>
        <v>-792.88978984854475</v>
      </c>
      <c r="J47" s="43">
        <f t="shared" ref="J47:J75" si="9">F47+J48/(1+$E$5)</f>
        <v>1114.3214213336</v>
      </c>
      <c r="K47" s="43">
        <f t="shared" ref="K47:K75" si="10">F47+K48/(1+$K$11)</f>
        <v>1042.0311258837269</v>
      </c>
    </row>
    <row r="48" spans="2:11" x14ac:dyDescent="0.2">
      <c r="B48">
        <f t="shared" si="3"/>
        <v>33</v>
      </c>
      <c r="D48" s="4">
        <f t="shared" si="7"/>
        <v>5.6947518172326292</v>
      </c>
      <c r="E48" s="5">
        <f t="shared" si="8"/>
        <v>40.646105395520074</v>
      </c>
      <c r="F48" s="43">
        <f t="shared" si="2"/>
        <v>34.951353578287446</v>
      </c>
      <c r="G48" s="43">
        <f t="shared" si="4"/>
        <v>-556.08914114815548</v>
      </c>
      <c r="H48" s="43">
        <f t="shared" si="5"/>
        <v>-813.61576826081125</v>
      </c>
      <c r="I48" s="43">
        <f t="shared" si="6"/>
        <v>-762.11037993967443</v>
      </c>
      <c r="J48" s="43">
        <f t="shared" si="9"/>
        <v>1085.4992830234803</v>
      </c>
      <c r="K48" s="43">
        <f t="shared" si="10"/>
        <v>1017.5699840808674</v>
      </c>
    </row>
    <row r="49" spans="2:11" x14ac:dyDescent="0.2">
      <c r="B49">
        <f t="shared" si="3"/>
        <v>34</v>
      </c>
      <c r="D49" s="4">
        <f t="shared" si="7"/>
        <v>5.7179529410531913</v>
      </c>
      <c r="E49" s="5">
        <f t="shared" si="8"/>
        <v>41.122271143344193</v>
      </c>
      <c r="F49" s="43">
        <f t="shared" si="2"/>
        <v>35.404318202291002</v>
      </c>
      <c r="G49" s="43">
        <f t="shared" si="4"/>
        <v>-520.68482294586443</v>
      </c>
      <c r="H49" s="43">
        <f t="shared" si="5"/>
        <v>-783.44627840948385</v>
      </c>
      <c r="I49" s="43">
        <f t="shared" si="6"/>
        <v>-730.71605356183818</v>
      </c>
      <c r="J49" s="43">
        <f t="shared" si="9"/>
        <v>1056.0755914731089</v>
      </c>
      <c r="K49" s="43">
        <f t="shared" si="10"/>
        <v>992.41301641187056</v>
      </c>
    </row>
    <row r="50" spans="2:11" x14ac:dyDescent="0.2">
      <c r="B50">
        <f t="shared" si="3"/>
        <v>35</v>
      </c>
      <c r="D50" s="4">
        <f t="shared" si="7"/>
        <v>5.7412485891241181</v>
      </c>
      <c r="E50" s="5">
        <f t="shared" si="8"/>
        <v>41.604015133344156</v>
      </c>
      <c r="F50" s="43">
        <f t="shared" si="2"/>
        <v>35.862766544220037</v>
      </c>
      <c r="G50" s="43">
        <f t="shared" si="4"/>
        <v>-484.82205640164437</v>
      </c>
      <c r="H50" s="43">
        <f t="shared" si="5"/>
        <v>-752.6242288101206</v>
      </c>
      <c r="I50" s="43">
        <f t="shared" si="6"/>
        <v>-698.69809149464527</v>
      </c>
      <c r="J50" s="43">
        <f t="shared" si="9"/>
        <v>1026.0417334679298</v>
      </c>
      <c r="K50" s="43">
        <f t="shared" si="10"/>
        <v>966.54781360780714</v>
      </c>
    </row>
    <row r="51" spans="2:11" x14ac:dyDescent="0.2">
      <c r="B51">
        <f t="shared" si="3"/>
        <v>36</v>
      </c>
      <c r="D51" s="4">
        <f t="shared" si="7"/>
        <v>5.7646391465489062</v>
      </c>
      <c r="E51" s="5">
        <f t="shared" si="8"/>
        <v>42.091402714163607</v>
      </c>
      <c r="F51" s="43">
        <f t="shared" si="2"/>
        <v>36.326763567614698</v>
      </c>
      <c r="G51" s="43">
        <f t="shared" si="4"/>
        <v>-448.49529283402967</v>
      </c>
      <c r="H51" s="43">
        <f t="shared" si="5"/>
        <v>-721.13987219218836</v>
      </c>
      <c r="I51" s="43">
        <f t="shared" si="6"/>
        <v>-666.04766367629247</v>
      </c>
      <c r="J51" s="43">
        <f t="shared" si="9"/>
        <v>995.38898592702719</v>
      </c>
      <c r="K51" s="43">
        <f t="shared" si="10"/>
        <v>939.96177786023895</v>
      </c>
    </row>
    <row r="52" spans="2:11" x14ac:dyDescent="0.2">
      <c r="B52">
        <f t="shared" si="3"/>
        <v>37</v>
      </c>
      <c r="D52" s="4">
        <f t="shared" si="7"/>
        <v>5.7881250000000115</v>
      </c>
      <c r="E52" s="5">
        <f t="shared" si="8"/>
        <v>42.584500000000126</v>
      </c>
      <c r="F52" s="43">
        <f t="shared" si="2"/>
        <v>36.796375000000111</v>
      </c>
      <c r="G52" s="43">
        <f t="shared" si="4"/>
        <v>-411.69891783402954</v>
      </c>
      <c r="H52" s="43">
        <f t="shared" si="5"/>
        <v>-688.98333284339685</v>
      </c>
      <c r="I52" s="43">
        <f t="shared" si="6"/>
        <v>-632.75582785636573</v>
      </c>
      <c r="J52" s="43">
        <f t="shared" si="9"/>
        <v>964.10851456594196</v>
      </c>
      <c r="K52" s="43">
        <f t="shared" si="10"/>
        <v>912.64212017927196</v>
      </c>
    </row>
    <row r="53" spans="2:11" x14ac:dyDescent="0.2">
      <c r="B53">
        <f t="shared" si="3"/>
        <v>38</v>
      </c>
      <c r="D53" s="4">
        <f t="shared" si="7"/>
        <v>5.8117065377252413</v>
      </c>
      <c r="E53" s="5">
        <f t="shared" si="8"/>
        <v>43.083373879573621</v>
      </c>
      <c r="F53" s="43">
        <f t="shared" si="2"/>
        <v>37.271667341848378</v>
      </c>
      <c r="G53" s="43">
        <f t="shared" si="4"/>
        <v>-374.42725049218114</v>
      </c>
      <c r="H53" s="43">
        <f t="shared" si="5"/>
        <v>-656.14460501035342</v>
      </c>
      <c r="I53" s="43">
        <f t="shared" si="6"/>
        <v>-598.81352823259124</v>
      </c>
      <c r="J53" s="43">
        <f t="shared" si="9"/>
        <v>932.19137254354735</v>
      </c>
      <c r="K53" s="43">
        <f t="shared" si="10"/>
        <v>884.57585771632853</v>
      </c>
    </row>
    <row r="54" spans="2:11" x14ac:dyDescent="0.2">
      <c r="B54">
        <f t="shared" si="3"/>
        <v>39</v>
      </c>
      <c r="D54" s="4">
        <f t="shared" si="7"/>
        <v>5.8353841495541721</v>
      </c>
      <c r="E54" s="5">
        <f t="shared" si="8"/>
        <v>43.588092025199806</v>
      </c>
      <c r="F54" s="43">
        <f t="shared" si="2"/>
        <v>37.752707875645633</v>
      </c>
      <c r="G54" s="43">
        <f t="shared" si="4"/>
        <v>-336.67454261653552</v>
      </c>
      <c r="H54" s="43">
        <f t="shared" si="5"/>
        <v>-622.61355127986064</v>
      </c>
      <c r="I54" s="43">
        <f t="shared" si="6"/>
        <v>-564.21159407134598</v>
      </c>
      <c r="J54" s="43">
        <f t="shared" si="9"/>
        <v>899.62849909279703</v>
      </c>
      <c r="K54" s="43">
        <f t="shared" si="10"/>
        <v>855.74981105118377</v>
      </c>
    </row>
    <row r="55" spans="2:11" x14ac:dyDescent="0.2">
      <c r="B55">
        <f t="shared" si="3"/>
        <v>40</v>
      </c>
      <c r="D55" s="4">
        <f t="shared" si="7"/>
        <v>5.8591582269045954</v>
      </c>
      <c r="E55" s="5">
        <f t="shared" si="8"/>
        <v>44.098722901969943</v>
      </c>
      <c r="F55" s="43">
        <f t="shared" si="2"/>
        <v>38.239564675065346</v>
      </c>
      <c r="G55" s="43">
        <f t="shared" si="4"/>
        <v>-298.43497794147015</v>
      </c>
      <c r="H55" s="43">
        <f t="shared" si="5"/>
        <v>-588.37990094062604</v>
      </c>
      <c r="I55" s="43">
        <f t="shared" si="6"/>
        <v>-528.94073831173694</v>
      </c>
      <c r="J55" s="43">
        <f t="shared" si="9"/>
        <v>866.41071813515225</v>
      </c>
      <c r="K55" s="43">
        <f t="shared" si="10"/>
        <v>826.15060144280108</v>
      </c>
    </row>
    <row r="56" spans="2:11" x14ac:dyDescent="0.2">
      <c r="B56">
        <f t="shared" si="3"/>
        <v>41</v>
      </c>
      <c r="D56" s="4">
        <f t="shared" si="7"/>
        <v>5.8830291627889864</v>
      </c>
      <c r="E56" s="5">
        <f t="shared" si="8"/>
        <v>44.615335777038155</v>
      </c>
      <c r="F56" s="43">
        <f t="shared" si="2"/>
        <v>38.732306614249168</v>
      </c>
      <c r="G56" s="43">
        <f t="shared" si="4"/>
        <v>-259.70267132722097</v>
      </c>
      <c r="H56" s="43">
        <f t="shared" si="5"/>
        <v>-553.43324832514963</v>
      </c>
      <c r="I56" s="43">
        <f t="shared" si="6"/>
        <v>-492.99155615305426</v>
      </c>
      <c r="J56" s="43">
        <f t="shared" si="9"/>
        <v>832.52873687849819</v>
      </c>
      <c r="K56" s="43">
        <f t="shared" si="10"/>
        <v>795.76464804350144</v>
      </c>
    </row>
    <row r="57" spans="2:11" x14ac:dyDescent="0.2">
      <c r="B57">
        <f t="shared" si="3"/>
        <v>42</v>
      </c>
      <c r="D57" s="4">
        <f t="shared" si="7"/>
        <v>5.9069973518210022</v>
      </c>
      <c r="E57" s="5">
        <f t="shared" si="8"/>
        <v>45.13800072901752</v>
      </c>
      <c r="F57" s="43">
        <f t="shared" si="2"/>
        <v>39.231003377196515</v>
      </c>
      <c r="G57" s="43">
        <f t="shared" si="4"/>
        <v>-220.47166795002445</v>
      </c>
      <c r="H57" s="43">
        <f t="shared" si="5"/>
        <v>-517.76305113155411</v>
      </c>
      <c r="I57" s="43">
        <f t="shared" si="6"/>
        <v>-456.35452362540252</v>
      </c>
      <c r="J57" s="43">
        <f t="shared" si="9"/>
        <v>797.97314439835259</v>
      </c>
      <c r="K57" s="43">
        <f t="shared" si="10"/>
        <v>764.57816507599057</v>
      </c>
    </row>
    <row r="58" spans="2:11" x14ac:dyDescent="0.2">
      <c r="B58">
        <f t="shared" si="3"/>
        <v>43</v>
      </c>
      <c r="D58" s="4">
        <f t="shared" si="7"/>
        <v>5.9310631902220043</v>
      </c>
      <c r="E58" s="5">
        <f t="shared" si="8"/>
        <v>45.666788657486244</v>
      </c>
      <c r="F58" s="43">
        <f t="shared" si="2"/>
        <v>39.735725467264238</v>
      </c>
      <c r="G58" s="43">
        <f t="shared" si="4"/>
        <v>-180.73594248276021</v>
      </c>
      <c r="H58" s="43">
        <f t="shared" si="5"/>
        <v>-481.35862872511751</v>
      </c>
      <c r="I58" s="43">
        <f t="shared" si="6"/>
        <v>-419.01999614331169</v>
      </c>
      <c r="J58" s="43">
        <f t="shared" si="9"/>
        <v>762.73441020217024</v>
      </c>
      <c r="K58" s="43">
        <f t="shared" si="10"/>
        <v>732.57715897276489</v>
      </c>
    </row>
    <row r="59" spans="2:11" x14ac:dyDescent="0.2">
      <c r="B59">
        <f t="shared" si="3"/>
        <v>44</v>
      </c>
      <c r="D59" s="4">
        <f t="shared" si="7"/>
        <v>5.9552270758276089</v>
      </c>
      <c r="E59" s="5">
        <f t="shared" si="8"/>
        <v>46.201771292605194</v>
      </c>
      <c r="F59" s="43">
        <f t="shared" si="2"/>
        <v>40.246544216777586</v>
      </c>
      <c r="G59" s="43">
        <f t="shared" si="4"/>
        <v>-140.48939826598263</v>
      </c>
      <c r="H59" s="43">
        <f t="shared" si="5"/>
        <v>-444.20916041926728</v>
      </c>
      <c r="I59" s="43">
        <f t="shared" si="6"/>
        <v>-380.97820704212614</v>
      </c>
      <c r="J59" s="43">
        <f t="shared" si="9"/>
        <v>726.80288277654404</v>
      </c>
      <c r="K59" s="43">
        <f t="shared" si="10"/>
        <v>699.74742547740959</v>
      </c>
    </row>
    <row r="60" spans="2:11" x14ac:dyDescent="0.2">
      <c r="B60">
        <f t="shared" si="3"/>
        <v>45</v>
      </c>
      <c r="D60" s="4">
        <f t="shared" si="7"/>
        <v>5.9794894080942651</v>
      </c>
      <c r="E60" s="5">
        <f t="shared" si="8"/>
        <v>46.743021204848134</v>
      </c>
      <c r="F60" s="43">
        <f t="shared" si="2"/>
        <v>40.763531796753867</v>
      </c>
      <c r="G60" s="43">
        <f t="shared" si="4"/>
        <v>-99.725866469228762</v>
      </c>
      <c r="H60" s="43">
        <f t="shared" si="5"/>
        <v>-406.30368373579034</v>
      </c>
      <c r="I60" s="43">
        <f t="shared" si="6"/>
        <v>-342.21926609696959</v>
      </c>
      <c r="J60" s="43">
        <f t="shared" si="9"/>
        <v>690.16878811709989</v>
      </c>
      <c r="K60" s="43">
        <f t="shared" si="10"/>
        <v>666.0745467072968</v>
      </c>
    </row>
    <row r="61" spans="2:11" x14ac:dyDescent="0.2">
      <c r="B61">
        <f t="shared" si="3"/>
        <v>46</v>
      </c>
      <c r="D61" s="4">
        <f t="shared" si="7"/>
        <v>6.0038505881058555</v>
      </c>
      <c r="E61" s="5">
        <f t="shared" si="8"/>
        <v>47.290611814845875</v>
      </c>
      <c r="F61" s="43">
        <f t="shared" si="2"/>
        <v>41.286761226740019</v>
      </c>
      <c r="G61" s="43">
        <f t="shared" si="4"/>
        <v>-58.439105242488743</v>
      </c>
      <c r="H61" s="43">
        <f t="shared" si="5"/>
        <v>-367.63109264401174</v>
      </c>
      <c r="I61" s="43">
        <f t="shared" si="6"/>
        <v>-302.73315802407905</v>
      </c>
      <c r="J61" s="43">
        <f t="shared" si="9"/>
        <v>652.8222282408816</v>
      </c>
      <c r="K61" s="43">
        <f t="shared" si="10"/>
        <v>631.54388817718507</v>
      </c>
    </row>
    <row r="62" spans="2:11" x14ac:dyDescent="0.2">
      <c r="B62">
        <f t="shared" si="3"/>
        <v>47</v>
      </c>
      <c r="D62" s="4">
        <f t="shared" si="7"/>
        <v>6.0283110185803288</v>
      </c>
      <c r="E62" s="5">
        <f t="shared" si="8"/>
        <v>47.844617403345829</v>
      </c>
      <c r="F62" s="43">
        <f t="shared" si="2"/>
        <v>41.816306384765497</v>
      </c>
      <c r="G62" s="43">
        <f t="shared" si="4"/>
        <v>-16.622798857723247</v>
      </c>
      <c r="H62" s="43">
        <f t="shared" si="5"/>
        <v>-328.18013577869129</v>
      </c>
      <c r="I62" s="43">
        <f t="shared" si="6"/>
        <v>-262.50974096430093</v>
      </c>
      <c r="J62" s="43">
        <f t="shared" si="9"/>
        <v>614.75317968101922</v>
      </c>
      <c r="K62" s="43">
        <f t="shared" si="10"/>
        <v>596.14059578321576</v>
      </c>
    </row>
    <row r="63" spans="2:11" x14ac:dyDescent="0.2">
      <c r="B63">
        <f t="shared" si="3"/>
        <v>48</v>
      </c>
      <c r="D63" s="4">
        <f t="shared" si="7"/>
        <v>6.0528711038763561</v>
      </c>
      <c r="E63" s="5">
        <f t="shared" si="8"/>
        <v>48.405113121288196</v>
      </c>
      <c r="F63" s="43">
        <f t="shared" si="2"/>
        <v>42.352242017411839</v>
      </c>
      <c r="G63" s="43">
        <f t="shared" si="4"/>
        <v>25.729443159688593</v>
      </c>
      <c r="H63" s="43">
        <f t="shared" si="5"/>
        <v>-287.93941463638453</v>
      </c>
      <c r="I63" s="43">
        <f t="shared" si="6"/>
        <v>-221.53874494853775</v>
      </c>
      <c r="J63" s="43">
        <f t="shared" si="9"/>
        <v>575.95149196347165</v>
      </c>
      <c r="K63" s="43">
        <f t="shared" si="10"/>
        <v>559.84959274679488</v>
      </c>
    </row>
    <row r="64" spans="2:11" x14ac:dyDescent="0.2">
      <c r="B64">
        <f t="shared" si="3"/>
        <v>49</v>
      </c>
      <c r="D64" s="4">
        <f t="shared" si="7"/>
        <v>6.0775312500000167</v>
      </c>
      <c r="E64" s="5">
        <f t="shared" si="8"/>
        <v>48.972175000000192</v>
      </c>
      <c r="F64" s="43">
        <f t="shared" si="2"/>
        <v>42.894643750000178</v>
      </c>
      <c r="G64" s="43">
        <f t="shared" si="4"/>
        <v>68.624086909688771</v>
      </c>
      <c r="H64" s="43">
        <f t="shared" si="5"/>
        <v>-246.89738175001162</v>
      </c>
      <c r="I64" s="43">
        <f t="shared" si="6"/>
        <v>-179.80977034493333</v>
      </c>
      <c r="J64" s="43">
        <f t="shared" si="9"/>
        <v>536.40688606563117</v>
      </c>
      <c r="K64" s="43">
        <f t="shared" si="10"/>
        <v>522.65557651784252</v>
      </c>
    </row>
    <row r="65" spans="2:11" x14ac:dyDescent="0.2">
      <c r="B65">
        <f t="shared" si="3"/>
        <v>50</v>
      </c>
      <c r="D65" s="4">
        <f t="shared" si="7"/>
        <v>6.1022918646115079</v>
      </c>
      <c r="E65" s="5">
        <f t="shared" si="8"/>
        <v>49.545879961509712</v>
      </c>
      <c r="F65" s="43">
        <f t="shared" si="2"/>
        <v>43.443588096898203</v>
      </c>
      <c r="G65" s="43">
        <f t="shared" si="4"/>
        <v>112.06767500658697</v>
      </c>
      <c r="H65" s="43">
        <f t="shared" si="5"/>
        <v>-205.042338841374</v>
      </c>
      <c r="I65" s="43">
        <f t="shared" si="6"/>
        <v>-137.31228628758038</v>
      </c>
      <c r="J65" s="43">
        <f t="shared" si="9"/>
        <v>496.10895285657739</v>
      </c>
      <c r="K65" s="43">
        <f t="shared" si="10"/>
        <v>484.54301563688603</v>
      </c>
    </row>
    <row r="66" spans="2:11" x14ac:dyDescent="0.2">
      <c r="B66">
        <f t="shared" si="3"/>
        <v>51</v>
      </c>
      <c r="D66" s="4">
        <f t="shared" si="7"/>
        <v>6.1271533570318857</v>
      </c>
      <c r="E66" s="5">
        <f t="shared" si="8"/>
        <v>50.126305828979824</v>
      </c>
      <c r="F66" s="43">
        <f t="shared" si="2"/>
        <v>43.999152471947937</v>
      </c>
      <c r="G66" s="43">
        <f t="shared" si="4"/>
        <v>156.06682747853489</v>
      </c>
      <c r="H66" s="43">
        <f t="shared" si="5"/>
        <v>-162.36243495135699</v>
      </c>
      <c r="I66" s="43">
        <f t="shared" si="6"/>
        <v>-94.035629086532694</v>
      </c>
      <c r="J66" s="43">
        <f t="shared" si="9"/>
        <v>455.04715151876235</v>
      </c>
      <c r="K66" s="43">
        <f t="shared" si="10"/>
        <v>445.496146555466</v>
      </c>
    </row>
    <row r="67" spans="2:11" x14ac:dyDescent="0.2">
      <c r="B67">
        <f t="shared" si="3"/>
        <v>52</v>
      </c>
      <c r="D67" s="4">
        <f t="shared" si="7"/>
        <v>6.1521161382498297</v>
      </c>
      <c r="E67" s="5">
        <f t="shared" si="8"/>
        <v>50.713531337265486</v>
      </c>
      <c r="F67" s="43">
        <f t="shared" si="2"/>
        <v>44.561415199015656</v>
      </c>
      <c r="G67" s="43">
        <f t="shared" si="4"/>
        <v>200.62824267755053</v>
      </c>
      <c r="H67" s="43">
        <f t="shared" si="5"/>
        <v>-118.84566454755183</v>
      </c>
      <c r="I67" s="43">
        <f t="shared" si="6"/>
        <v>-49.969000618901418</v>
      </c>
      <c r="J67" s="43">
        <f t="shared" si="9"/>
        <v>413.21080795090876</v>
      </c>
      <c r="K67" s="43">
        <f t="shared" si="10"/>
        <v>405.4989704143178</v>
      </c>
    </row>
    <row r="68" spans="2:11" x14ac:dyDescent="0.2">
      <c r="B68">
        <f t="shared" si="3"/>
        <v>53</v>
      </c>
      <c r="D68" s="4">
        <f t="shared" si="7"/>
        <v>6.1771806209284401</v>
      </c>
      <c r="E68" s="5">
        <f t="shared" si="8"/>
        <v>51.307636143593932</v>
      </c>
      <c r="F68" s="43">
        <f t="shared" si="2"/>
        <v>45.130455522665493</v>
      </c>
      <c r="G68" s="43">
        <f t="shared" si="4"/>
        <v>245.75869820021603</v>
      </c>
      <c r="H68" s="43">
        <f t="shared" si="5"/>
        <v>-74.47986560902865</v>
      </c>
      <c r="I68" s="43">
        <f t="shared" si="6"/>
        <v>-5.1014667008122032</v>
      </c>
      <c r="J68" s="43">
        <f t="shared" si="9"/>
        <v>370.58911315189914</v>
      </c>
      <c r="K68" s="43">
        <f t="shared" si="10"/>
        <v>364.53524977878345</v>
      </c>
    </row>
    <row r="69" spans="2:11" x14ac:dyDescent="0.2">
      <c r="B69">
        <f t="shared" si="3"/>
        <v>54</v>
      </c>
      <c r="D69" s="4">
        <f t="shared" si="7"/>
        <v>6.2023472194120561</v>
      </c>
      <c r="E69" s="5">
        <f t="shared" si="8"/>
        <v>51.908700838370201</v>
      </c>
      <c r="F69" s="43">
        <f t="shared" si="2"/>
        <v>45.706353618958147</v>
      </c>
      <c r="G69" s="43">
        <f t="shared" si="4"/>
        <v>291.46505181917416</v>
      </c>
      <c r="H69" s="43">
        <f t="shared" si="5"/>
        <v>-29.252717687987996</v>
      </c>
      <c r="I69" s="43">
        <f t="shared" si="6"/>
        <v>40.578044560002752</v>
      </c>
      <c r="J69" s="43">
        <f t="shared" si="9"/>
        <v>327.17112158543193</v>
      </c>
      <c r="K69" s="43">
        <f t="shared" si="10"/>
        <v>322.58850533090384</v>
      </c>
    </row>
    <row r="70" spans="2:11" x14ac:dyDescent="0.2">
      <c r="B70">
        <f t="shared" si="3"/>
        <v>55</v>
      </c>
      <c r="D70" s="4">
        <f t="shared" si="7"/>
        <v>6.2276163497331076</v>
      </c>
      <c r="E70" s="5">
        <f t="shared" si="8"/>
        <v>52.516806956109235</v>
      </c>
      <c r="F70" s="43">
        <f t="shared" si="2"/>
        <v>46.289190606376124</v>
      </c>
      <c r="G70" s="43">
        <f t="shared" si="4"/>
        <v>337.75424242555027</v>
      </c>
      <c r="H70" s="43">
        <f t="shared" si="5"/>
        <v>16.848260051984184</v>
      </c>
      <c r="I70" s="43">
        <f t="shared" si="6"/>
        <v>87.080744431205915</v>
      </c>
      <c r="J70" s="43">
        <f t="shared" si="9"/>
        <v>282.94574952521725</v>
      </c>
      <c r="K70" s="43">
        <f t="shared" si="10"/>
        <v>279.64201251763239</v>
      </c>
    </row>
    <row r="71" spans="2:11" x14ac:dyDescent="0.2">
      <c r="B71">
        <f t="shared" si="3"/>
        <v>56</v>
      </c>
      <c r="D71" s="4">
        <f t="shared" si="7"/>
        <v>6.252988429618993</v>
      </c>
      <c r="E71" s="5">
        <f t="shared" si="8"/>
        <v>53.132036986496033</v>
      </c>
      <c r="F71" s="43">
        <f t="shared" si="2"/>
        <v>46.879048556877038</v>
      </c>
      <c r="G71" s="43">
        <f t="shared" si="4"/>
        <v>384.6332909824273</v>
      </c>
      <c r="H71" s="43">
        <f t="shared" si="5"/>
        <v>63.83571082133686</v>
      </c>
      <c r="I71" s="43">
        <f t="shared" si="6"/>
        <v>134.41798524268029</v>
      </c>
      <c r="J71" s="43">
        <f t="shared" si="9"/>
        <v>237.90177338048289</v>
      </c>
      <c r="K71" s="43">
        <f t="shared" si="10"/>
        <v>235.67879815460498</v>
      </c>
    </row>
    <row r="72" spans="2:11" x14ac:dyDescent="0.2">
      <c r="B72">
        <f t="shared" si="3"/>
        <v>57</v>
      </c>
      <c r="D72" s="4">
        <f t="shared" si="7"/>
        <v>6.2784638784989815</v>
      </c>
      <c r="E72" s="5">
        <f t="shared" si="8"/>
        <v>53.754474385575413</v>
      </c>
      <c r="F72" s="43">
        <f t="shared" si="2"/>
        <v>47.476010507076431</v>
      </c>
      <c r="G72" s="43">
        <f t="shared" si="4"/>
        <v>432.10930148950371</v>
      </c>
      <c r="H72" s="43">
        <f t="shared" si="5"/>
        <v>111.72244221393123</v>
      </c>
      <c r="I72" s="43">
        <f t="shared" si="6"/>
        <v>182.60126209341354</v>
      </c>
      <c r="J72" s="43">
        <f t="shared" si="9"/>
        <v>192.02782800155808</v>
      </c>
      <c r="K72" s="43">
        <f t="shared" si="10"/>
        <v>190.6816369848944</v>
      </c>
    </row>
    <row r="73" spans="2:11" x14ac:dyDescent="0.2">
      <c r="B73">
        <f t="shared" si="3"/>
        <v>58</v>
      </c>
      <c r="D73" s="4">
        <f t="shared" si="7"/>
        <v>6.3040431175111511</v>
      </c>
      <c r="E73" s="5">
        <f t="shared" si="8"/>
        <v>54.384203587072818</v>
      </c>
      <c r="F73" s="43">
        <f t="shared" si="2"/>
        <v>48.080160469561669</v>
      </c>
      <c r="G73" s="43">
        <f t="shared" si="4"/>
        <v>480.1894619590654</v>
      </c>
      <c r="H73" s="43">
        <f t="shared" si="5"/>
        <v>160.52142824066044</v>
      </c>
      <c r="I73" s="43">
        <f t="shared" si="6"/>
        <v>231.64221457867728</v>
      </c>
      <c r="J73" s="43">
        <f t="shared" si="9"/>
        <v>145.31240496530029</v>
      </c>
      <c r="K73" s="43">
        <f t="shared" si="10"/>
        <v>144.63304819216921</v>
      </c>
    </row>
    <row r="74" spans="2:11" x14ac:dyDescent="0.2">
      <c r="B74">
        <f t="shared" si="3"/>
        <v>59</v>
      </c>
      <c r="D74" s="4">
        <f t="shared" si="7"/>
        <v>6.3297265695093481</v>
      </c>
      <c r="E74" s="5">
        <f t="shared" si="8"/>
        <v>55.021310013847767</v>
      </c>
      <c r="F74" s="43">
        <f t="shared" si="2"/>
        <v>48.69158344433842</v>
      </c>
      <c r="G74" s="43">
        <f t="shared" si="4"/>
        <v>528.88104540340385</v>
      </c>
      <c r="H74" s="43">
        <f t="shared" si="5"/>
        <v>210.24581138760001</v>
      </c>
      <c r="I74" s="43">
        <f t="shared" si="6"/>
        <v>281.5526285377407</v>
      </c>
      <c r="J74" s="43">
        <f t="shared" si="9"/>
        <v>97.743850840126896</v>
      </c>
      <c r="K74" s="43">
        <f t="shared" si="10"/>
        <v>97.515291867670371</v>
      </c>
    </row>
    <row r="75" spans="2:11" x14ac:dyDescent="0.2">
      <c r="B75">
        <f t="shared" si="3"/>
        <v>60</v>
      </c>
      <c r="D75" s="4">
        <f t="shared" si="7"/>
        <v>6.3555146590701774</v>
      </c>
      <c r="E75" s="5">
        <f t="shared" si="8"/>
        <v>55.66588008948149</v>
      </c>
      <c r="F75" s="43">
        <f t="shared" si="2"/>
        <v>49.310365430411309</v>
      </c>
      <c r="G75" s="43">
        <f t="shared" si="4"/>
        <v>578.1914108338151</v>
      </c>
      <c r="H75" s="43">
        <f t="shared" si="5"/>
        <v>260.90890469898125</v>
      </c>
      <c r="I75" s="43">
        <f t="shared" si="6"/>
        <v>332.34443782236048</v>
      </c>
      <c r="J75" s="43">
        <f t="shared" si="9"/>
        <v>49.310365430411309</v>
      </c>
      <c r="K75" s="43">
        <f t="shared" si="10"/>
        <v>49.310365430411309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0"/>
  <sheetViews>
    <sheetView topLeftCell="A46" zoomScale="80" zoomScaleNormal="80" workbookViewId="0">
      <selection activeCell="O21" sqref="O21"/>
    </sheetView>
  </sheetViews>
  <sheetFormatPr defaultRowHeight="12.75" x14ac:dyDescent="0.2"/>
  <cols>
    <col min="3" max="3" width="13.42578125" customWidth="1"/>
    <col min="4" max="4" width="14" customWidth="1"/>
    <col min="5" max="5" width="12.28515625" customWidth="1"/>
    <col min="7" max="7" width="12.42578125" customWidth="1"/>
    <col min="8" max="8" width="13.42578125" customWidth="1"/>
    <col min="18" max="18" width="13.42578125" bestFit="1" customWidth="1"/>
  </cols>
  <sheetData>
    <row r="2" spans="2:19" ht="13.5" thickBot="1" x14ac:dyDescent="0.25">
      <c r="C2" t="s">
        <v>2</v>
      </c>
      <c r="D2" s="3">
        <v>0.08</v>
      </c>
      <c r="E2" s="2">
        <f t="shared" ref="E2:E7" si="0">(1+D2)^(1/12)-1</f>
        <v>6.4340301100034303E-3</v>
      </c>
      <c r="P2" s="39" t="s">
        <v>97</v>
      </c>
    </row>
    <row r="3" spans="2:19" x14ac:dyDescent="0.2">
      <c r="C3" t="s">
        <v>3</v>
      </c>
      <c r="D3" s="3">
        <v>0.05</v>
      </c>
      <c r="E3" s="2">
        <f t="shared" si="0"/>
        <v>4.0741237836483535E-3</v>
      </c>
      <c r="P3" s="47" t="s">
        <v>90</v>
      </c>
      <c r="Q3" s="48" t="s">
        <v>9</v>
      </c>
      <c r="R3" s="49">
        <f>J10*100000</f>
        <v>-10981685.873312812</v>
      </c>
      <c r="S3" s="50"/>
    </row>
    <row r="4" spans="2:19" x14ac:dyDescent="0.2">
      <c r="C4" t="s">
        <v>4</v>
      </c>
      <c r="D4" s="3">
        <v>0.15</v>
      </c>
      <c r="E4" s="2">
        <f t="shared" si="0"/>
        <v>1.171491691985338E-2</v>
      </c>
      <c r="J4">
        <f>(1+K4)^12-1</f>
        <v>0.12639183122497122</v>
      </c>
      <c r="K4" s="6">
        <v>9.967637092613708E-3</v>
      </c>
      <c r="P4" s="51" t="s">
        <v>91</v>
      </c>
      <c r="Q4" s="52" t="s">
        <v>11</v>
      </c>
      <c r="R4" s="52">
        <f>J4</f>
        <v>0.12639183122497122</v>
      </c>
      <c r="S4" s="53"/>
    </row>
    <row r="5" spans="2:19" x14ac:dyDescent="0.2">
      <c r="C5" t="s">
        <v>5</v>
      </c>
      <c r="D5" s="3">
        <v>6.5000000000000002E-2</v>
      </c>
      <c r="E5" s="2">
        <f t="shared" si="0"/>
        <v>5.2616942768477504E-3</v>
      </c>
      <c r="P5" s="51" t="s">
        <v>92</v>
      </c>
      <c r="Q5" s="52" t="s">
        <v>12</v>
      </c>
      <c r="R5" s="52">
        <f>L10</f>
        <v>48</v>
      </c>
      <c r="S5" s="53" t="s">
        <v>96</v>
      </c>
    </row>
    <row r="6" spans="2:19" x14ac:dyDescent="0.2">
      <c r="C6" t="s">
        <v>16</v>
      </c>
      <c r="D6" s="1">
        <v>0.09</v>
      </c>
      <c r="E6" s="2">
        <f t="shared" si="0"/>
        <v>7.2073233161367156E-3</v>
      </c>
      <c r="F6" s="45" t="s">
        <v>87</v>
      </c>
      <c r="P6" s="51" t="s">
        <v>93</v>
      </c>
      <c r="Q6" s="52" t="s">
        <v>13</v>
      </c>
      <c r="R6" s="52">
        <f>M10</f>
        <v>55</v>
      </c>
      <c r="S6" s="53" t="s">
        <v>96</v>
      </c>
    </row>
    <row r="7" spans="2:19" ht="13.5" thickBot="1" x14ac:dyDescent="0.25">
      <c r="C7" t="s">
        <v>17</v>
      </c>
      <c r="D7" s="1">
        <v>0.16</v>
      </c>
      <c r="E7" s="2">
        <f t="shared" si="0"/>
        <v>1.2445137919713467E-2</v>
      </c>
      <c r="F7" s="45" t="s">
        <v>87</v>
      </c>
      <c r="P7" s="54" t="s">
        <v>94</v>
      </c>
      <c r="Q7" s="55" t="s">
        <v>14</v>
      </c>
      <c r="R7" s="56">
        <f>N10*100000</f>
        <v>20991069.66372259</v>
      </c>
      <c r="S7" s="57"/>
    </row>
    <row r="8" spans="2:19" x14ac:dyDescent="0.2">
      <c r="D8" s="9"/>
      <c r="E8" s="9"/>
      <c r="F8" s="58" t="s">
        <v>100</v>
      </c>
      <c r="G8" s="10"/>
      <c r="H8" s="10"/>
      <c r="I8" s="10"/>
      <c r="J8" s="59" t="s">
        <v>87</v>
      </c>
      <c r="K8" s="10"/>
      <c r="L8" s="10"/>
      <c r="M8" s="10"/>
      <c r="N8" s="59" t="s">
        <v>87</v>
      </c>
    </row>
    <row r="9" spans="2:19" ht="45" x14ac:dyDescent="0.25">
      <c r="B9" s="7" t="s">
        <v>0</v>
      </c>
      <c r="C9" s="7" t="s">
        <v>1</v>
      </c>
      <c r="D9" s="7" t="s">
        <v>6</v>
      </c>
      <c r="E9" s="7" t="s">
        <v>7</v>
      </c>
      <c r="F9" s="7" t="s">
        <v>8</v>
      </c>
      <c r="G9" s="7" t="s">
        <v>10</v>
      </c>
      <c r="H9" s="7" t="s">
        <v>13</v>
      </c>
      <c r="I9" s="7" t="s">
        <v>15</v>
      </c>
      <c r="J9" s="8" t="s">
        <v>9</v>
      </c>
      <c r="K9" s="8" t="s">
        <v>11</v>
      </c>
      <c r="L9" s="8" t="s">
        <v>12</v>
      </c>
      <c r="M9" s="8" t="s">
        <v>13</v>
      </c>
      <c r="N9" s="8" t="s">
        <v>14</v>
      </c>
    </row>
    <row r="10" spans="2:19" x14ac:dyDescent="0.2">
      <c r="B10">
        <f>0</f>
        <v>0</v>
      </c>
      <c r="C10">
        <f>-1500</f>
        <v>-1500</v>
      </c>
      <c r="F10">
        <f>C10-D10+E10</f>
        <v>-1500</v>
      </c>
      <c r="G10">
        <f>F10</f>
        <v>-1500</v>
      </c>
      <c r="H10">
        <f>F10</f>
        <v>-1500</v>
      </c>
      <c r="I10">
        <f>F10</f>
        <v>-1500</v>
      </c>
      <c r="J10" s="6">
        <f>F10+J11/(1+$E$7)</f>
        <v>-109.81685873312813</v>
      </c>
      <c r="K10">
        <f>F10+K11/(1+$K$4)</f>
        <v>7.2395123879687162E-5</v>
      </c>
      <c r="L10">
        <f>B58</f>
        <v>48</v>
      </c>
      <c r="M10">
        <f>B65</f>
        <v>55</v>
      </c>
      <c r="N10" s="6">
        <f>I70</f>
        <v>209.9106966372259</v>
      </c>
    </row>
    <row r="11" spans="2:19" x14ac:dyDescent="0.2">
      <c r="B11">
        <f>B10+1</f>
        <v>1</v>
      </c>
      <c r="D11" s="4">
        <f>5</f>
        <v>5</v>
      </c>
      <c r="E11" s="5">
        <f>28</f>
        <v>28</v>
      </c>
      <c r="F11">
        <f t="shared" ref="F11:F70" si="1">C11-D11+E11</f>
        <v>23</v>
      </c>
      <c r="G11">
        <f>G10+F11</f>
        <v>-1477</v>
      </c>
      <c r="H11">
        <f>H10*(1+$E$2)+F11</f>
        <v>-1486.6510451650051</v>
      </c>
      <c r="I11">
        <f>I10*(1+$E$6)+F11</f>
        <v>-1487.810984974205</v>
      </c>
      <c r="J11">
        <f t="shared" ref="J11:J70" si="2">F11+J12/(1+$E$7)</f>
        <v>1407.4841621935986</v>
      </c>
      <c r="K11">
        <f>F11+K12/(1+$K$4)</f>
        <v>1514.9515287556526</v>
      </c>
    </row>
    <row r="12" spans="2:19" x14ac:dyDescent="0.2">
      <c r="B12">
        <f t="shared" ref="B12:B70" si="3">B11+1</f>
        <v>2</v>
      </c>
      <c r="D12" s="4">
        <f>D11*(1+$E$3)</f>
        <v>5.0203706189182418</v>
      </c>
      <c r="E12" s="5">
        <f>E11*(1+$E$4)</f>
        <v>28.328017673755895</v>
      </c>
      <c r="F12">
        <f t="shared" si="1"/>
        <v>23.307647054837652</v>
      </c>
      <c r="G12">
        <f t="shared" ref="G12:G70" si="4">G11+F12</f>
        <v>-1453.6923529451624</v>
      </c>
      <c r="H12">
        <f t="shared" ref="H12:H70" si="5">H11*(1+$E$2)+F12</f>
        <v>-1472.9085556978273</v>
      </c>
      <c r="I12">
        <f t="shared" ref="I12:I70" si="6">I11*(1+$E$6)+F12</f>
        <v>-1475.2264727213762</v>
      </c>
      <c r="J12">
        <f t="shared" si="2"/>
        <v>1401.7142585397569</v>
      </c>
      <c r="K12">
        <f t="shared" ref="K12:K70" si="7">F12+K13/(1+$K$4)</f>
        <v>1506.8227601540591</v>
      </c>
    </row>
    <row r="13" spans="2:19" x14ac:dyDescent="0.2">
      <c r="B13">
        <f t="shared" si="3"/>
        <v>3</v>
      </c>
      <c r="D13" s="4">
        <f t="shared" ref="D13:D70" si="8">D12*(1+$E$3)</f>
        <v>5.0408242302595063</v>
      </c>
      <c r="E13" s="5">
        <f t="shared" ref="E13:E70" si="9">E12*(1+$E$4)</f>
        <v>28.659878047308084</v>
      </c>
      <c r="F13">
        <f t="shared" si="1"/>
        <v>23.619053817048577</v>
      </c>
      <c r="G13">
        <f t="shared" si="4"/>
        <v>-1430.0732991281138</v>
      </c>
      <c r="H13">
        <f t="shared" si="5"/>
        <v>-1458.7662398774203</v>
      </c>
      <c r="I13">
        <f t="shared" si="6"/>
        <v>-1462.2398530577545</v>
      </c>
      <c r="J13">
        <f t="shared" si="2"/>
        <v>1395.5610718742939</v>
      </c>
      <c r="K13">
        <f t="shared" si="7"/>
        <v>1498.3022533680021</v>
      </c>
    </row>
    <row r="14" spans="2:19" x14ac:dyDescent="0.2">
      <c r="B14">
        <f t="shared" si="3"/>
        <v>4</v>
      </c>
      <c r="D14" s="4">
        <f t="shared" si="8"/>
        <v>5.0613611721451974</v>
      </c>
      <c r="E14" s="5">
        <f t="shared" si="9"/>
        <v>28.995626137565427</v>
      </c>
      <c r="F14">
        <f t="shared" si="1"/>
        <v>23.93426496542023</v>
      </c>
      <c r="G14">
        <f t="shared" si="4"/>
        <v>-1406.1390341626936</v>
      </c>
      <c r="H14">
        <f t="shared" si="5"/>
        <v>-1444.2177208228279</v>
      </c>
      <c r="I14">
        <f t="shared" si="6"/>
        <v>-1448.8444234790618</v>
      </c>
      <c r="J14">
        <f t="shared" si="2"/>
        <v>1389.0160256898178</v>
      </c>
      <c r="K14">
        <f t="shared" si="7"/>
        <v>1489.3823065106517</v>
      </c>
    </row>
    <row r="15" spans="2:19" x14ac:dyDescent="0.2">
      <c r="B15">
        <f t="shared" si="3"/>
        <v>5</v>
      </c>
      <c r="D15" s="4">
        <f t="shared" si="8"/>
        <v>5.0819817840742685</v>
      </c>
      <c r="E15" s="5">
        <f t="shared" si="9"/>
        <v>29.335307488806134</v>
      </c>
      <c r="F15">
        <f t="shared" si="1"/>
        <v>24.253325704731864</v>
      </c>
      <c r="G15">
        <f t="shared" si="4"/>
        <v>-1381.8857084579618</v>
      </c>
      <c r="H15">
        <f t="shared" si="5"/>
        <v>-1429.2565354192707</v>
      </c>
      <c r="I15">
        <f t="shared" si="6"/>
        <v>-1435.0333879691252</v>
      </c>
      <c r="J15">
        <f t="shared" si="2"/>
        <v>1382.0703915082979</v>
      </c>
      <c r="K15">
        <f t="shared" si="7"/>
        <v>1480.0550958014358</v>
      </c>
    </row>
    <row r="16" spans="2:19" x14ac:dyDescent="0.2">
      <c r="B16">
        <f t="shared" si="3"/>
        <v>6</v>
      </c>
      <c r="D16" s="4">
        <f t="shared" si="8"/>
        <v>5.1026864069288331</v>
      </c>
      <c r="E16" s="5">
        <f t="shared" si="9"/>
        <v>29.67896817885585</v>
      </c>
      <c r="F16">
        <f t="shared" si="1"/>
        <v>24.576281771927018</v>
      </c>
      <c r="G16">
        <f t="shared" si="4"/>
        <v>-1357.3094266860348</v>
      </c>
      <c r="H16">
        <f t="shared" si="5"/>
        <v>-1413.8761332311506</v>
      </c>
      <c r="I16">
        <f t="shared" si="6"/>
        <v>-1420.7998557937428</v>
      </c>
      <c r="J16">
        <f t="shared" si="2"/>
        <v>1374.715286457232</v>
      </c>
      <c r="K16">
        <f t="shared" si="7"/>
        <v>1470.3126738198123</v>
      </c>
    </row>
    <row r="17" spans="2:11" x14ac:dyDescent="0.2">
      <c r="B17">
        <f t="shared" si="3"/>
        <v>7</v>
      </c>
      <c r="D17" s="4">
        <f t="shared" si="8"/>
        <v>5.1234753829798008</v>
      </c>
      <c r="E17" s="5">
        <f t="shared" si="9"/>
        <v>30.02665482533812</v>
      </c>
      <c r="F17">
        <f t="shared" si="1"/>
        <v>24.903179442358319</v>
      </c>
      <c r="G17">
        <f t="shared" si="4"/>
        <v>-1332.4062472436765</v>
      </c>
      <c r="H17">
        <f t="shared" si="5"/>
        <v>-1398.0698754018167</v>
      </c>
      <c r="I17">
        <f t="shared" si="6"/>
        <v>-1406.1368402796104</v>
      </c>
      <c r="J17">
        <f t="shared" si="2"/>
        <v>1366.9416708093984</v>
      </c>
      <c r="K17">
        <f t="shared" si="7"/>
        <v>1460.1469677354032</v>
      </c>
    </row>
    <row r="18" spans="2:11" x14ac:dyDescent="0.2">
      <c r="B18">
        <f t="shared" si="3"/>
        <v>8</v>
      </c>
      <c r="D18" s="4">
        <f t="shared" si="8"/>
        <v>5.144349055892536</v>
      </c>
      <c r="E18" s="5">
        <f t="shared" si="9"/>
        <v>30.378414591998069</v>
      </c>
      <c r="F18">
        <f t="shared" si="1"/>
        <v>25.234065536105533</v>
      </c>
      <c r="G18">
        <f t="shared" si="4"/>
        <v>-1307.1721817075709</v>
      </c>
      <c r="H18">
        <f t="shared" si="5"/>
        <v>-1381.8310335399351</v>
      </c>
      <c r="I18">
        <f t="shared" si="6"/>
        <v>-1391.0372575781307</v>
      </c>
      <c r="J18">
        <f t="shared" si="2"/>
        <v>1358.7403454856669</v>
      </c>
      <c r="K18">
        <f t="shared" si="7"/>
        <v>1449.549777514178</v>
      </c>
    </row>
    <row r="19" spans="2:11" x14ac:dyDescent="0.2">
      <c r="B19">
        <f t="shared" si="3"/>
        <v>9</v>
      </c>
      <c r="D19" s="4">
        <f t="shared" si="8"/>
        <v>5.1653077707325368</v>
      </c>
      <c r="E19" s="5">
        <f t="shared" si="9"/>
        <v>30.734295195100188</v>
      </c>
      <c r="F19">
        <f t="shared" si="1"/>
        <v>25.568987424367652</v>
      </c>
      <c r="G19">
        <f t="shared" si="4"/>
        <v>-1281.6031942832033</v>
      </c>
      <c r="H19">
        <f t="shared" si="5"/>
        <v>-1365.1527885923006</v>
      </c>
      <c r="I19">
        <f t="shared" si="6"/>
        <v>-1375.4939254139208</v>
      </c>
      <c r="J19">
        <f t="shared" si="2"/>
        <v>1350.1019495203377</v>
      </c>
      <c r="K19">
        <f t="shared" si="7"/>
        <v>1438.5127741003773</v>
      </c>
    </row>
    <row r="20" spans="2:11" x14ac:dyDescent="0.2">
      <c r="B20">
        <f t="shared" si="3"/>
        <v>10</v>
      </c>
      <c r="D20" s="4">
        <f t="shared" si="8"/>
        <v>5.1863518739711418</v>
      </c>
      <c r="E20" s="5">
        <f t="shared" si="9"/>
        <v>31.094344909901036</v>
      </c>
      <c r="F20">
        <f t="shared" si="1"/>
        <v>25.907993035929895</v>
      </c>
      <c r="G20">
        <f t="shared" si="4"/>
        <v>-1255.6952012472734</v>
      </c>
      <c r="H20">
        <f t="shared" si="5"/>
        <v>-1348.0282297029287</v>
      </c>
      <c r="I20">
        <f t="shared" si="6"/>
        <v>-1359.4995618178311</v>
      </c>
      <c r="J20">
        <f t="shared" si="2"/>
        <v>1341.016957488461</v>
      </c>
      <c r="K20">
        <f t="shared" si="7"/>
        <v>1427.0274975738594</v>
      </c>
    </row>
    <row r="21" spans="2:11" x14ac:dyDescent="0.2">
      <c r="B21">
        <f t="shared" si="3"/>
        <v>11</v>
      </c>
      <c r="D21" s="4">
        <f t="shared" si="8"/>
        <v>5.2074817134912568</v>
      </c>
      <c r="E21" s="5">
        <f t="shared" si="9"/>
        <v>31.458612577197794</v>
      </c>
      <c r="F21">
        <f t="shared" si="1"/>
        <v>26.251130863706535</v>
      </c>
      <c r="G21">
        <f t="shared" si="4"/>
        <v>-1229.4440703835669</v>
      </c>
      <c r="H21">
        <f t="shared" si="5"/>
        <v>-1330.4503530582654</v>
      </c>
      <c r="I21">
        <f t="shared" si="6"/>
        <v>-1343.0467838442919</v>
      </c>
      <c r="J21">
        <f t="shared" si="2"/>
        <v>1331.4756768945945</v>
      </c>
      <c r="K21">
        <f t="shared" si="7"/>
        <v>1415.0853552825463</v>
      </c>
    </row>
    <row r="22" spans="2:11" x14ac:dyDescent="0.2">
      <c r="B22">
        <f t="shared" si="3"/>
        <v>12</v>
      </c>
      <c r="D22" s="4">
        <f t="shared" si="8"/>
        <v>5.228697638593105</v>
      </c>
      <c r="E22" s="5">
        <f t="shared" si="9"/>
        <v>31.827147609953521</v>
      </c>
      <c r="F22">
        <f t="shared" si="1"/>
        <v>26.598449971360417</v>
      </c>
      <c r="G22">
        <f t="shared" si="4"/>
        <v>-1202.8456204122065</v>
      </c>
      <c r="H22">
        <f t="shared" si="5"/>
        <v>-1312.4120607183465</v>
      </c>
      <c r="I22">
        <f t="shared" si="6"/>
        <v>-1326.1281062727949</v>
      </c>
      <c r="J22">
        <f t="shared" si="2"/>
        <v>1321.4682455224377</v>
      </c>
      <c r="K22">
        <f t="shared" si="7"/>
        <v>1402.6776199496483</v>
      </c>
    </row>
    <row r="23" spans="2:11" x14ac:dyDescent="0.2">
      <c r="B23">
        <f t="shared" si="3"/>
        <v>13</v>
      </c>
      <c r="D23" s="4">
        <f t="shared" si="8"/>
        <v>5.2500000000000036</v>
      </c>
      <c r="E23" s="5">
        <f t="shared" si="9"/>
        <v>32.200000000000038</v>
      </c>
      <c r="F23">
        <f t="shared" si="1"/>
        <v>26.950000000000035</v>
      </c>
      <c r="G23">
        <f t="shared" si="4"/>
        <v>-1175.8956204122064</v>
      </c>
      <c r="H23">
        <f t="shared" si="5"/>
        <v>-1293.90615943374</v>
      </c>
      <c r="I23">
        <f t="shared" si="6"/>
        <v>-1308.7359402933189</v>
      </c>
      <c r="J23">
        <f t="shared" si="2"/>
        <v>1310.9846287447815</v>
      </c>
      <c r="K23">
        <f t="shared" si="7"/>
        <v>1389.7954277553363</v>
      </c>
    </row>
    <row r="24" spans="2:11" x14ac:dyDescent="0.2">
      <c r="B24">
        <f t="shared" si="3"/>
        <v>14</v>
      </c>
      <c r="D24" s="4">
        <f t="shared" si="8"/>
        <v>5.2713891498641576</v>
      </c>
      <c r="E24" s="5">
        <f t="shared" si="9"/>
        <v>32.577220324819315</v>
      </c>
      <c r="F24">
        <f t="shared" si="1"/>
        <v>27.305831174955159</v>
      </c>
      <c r="G24">
        <f t="shared" si="4"/>
        <v>-1148.5897892372514</v>
      </c>
      <c r="H24">
        <f t="shared" si="5"/>
        <v>-1274.9253594481004</v>
      </c>
      <c r="I24">
        <f t="shared" si="6"/>
        <v>-1290.8625921755061</v>
      </c>
      <c r="J24">
        <f t="shared" si="2"/>
        <v>1300.0146167931982</v>
      </c>
      <c r="K24">
        <f t="shared" si="7"/>
        <v>1376.4297763925292</v>
      </c>
    </row>
    <row r="25" spans="2:11" x14ac:dyDescent="0.2">
      <c r="B25">
        <f t="shared" si="3"/>
        <v>15</v>
      </c>
      <c r="D25" s="4">
        <f t="shared" si="8"/>
        <v>5.2928654417724852</v>
      </c>
      <c r="E25" s="5">
        <f t="shared" si="9"/>
        <v>32.95885975440433</v>
      </c>
      <c r="F25">
        <f t="shared" si="1"/>
        <v>27.665994312631845</v>
      </c>
      <c r="G25">
        <f t="shared" si="4"/>
        <v>-1120.9237949246194</v>
      </c>
      <c r="H25">
        <f t="shared" si="5"/>
        <v>-1255.4622732861644</v>
      </c>
      <c r="I25">
        <f t="shared" si="6"/>
        <v>-1272.5002619213892</v>
      </c>
      <c r="J25">
        <f t="shared" si="2"/>
        <v>1288.5478219868933</v>
      </c>
      <c r="K25">
        <f t="shared" si="7"/>
        <v>1362.5715230964581</v>
      </c>
    </row>
    <row r="26" spans="2:11" x14ac:dyDescent="0.2">
      <c r="B26">
        <f t="shared" si="3"/>
        <v>16</v>
      </c>
      <c r="D26" s="4">
        <f t="shared" si="8"/>
        <v>5.3144292307524612</v>
      </c>
      <c r="E26" s="5">
        <f t="shared" si="9"/>
        <v>33.344970058200275</v>
      </c>
      <c r="F26">
        <f t="shared" si="1"/>
        <v>28.030540827447815</v>
      </c>
      <c r="G26">
        <f t="shared" si="4"/>
        <v>-1092.8932540971716</v>
      </c>
      <c r="H26">
        <f t="shared" si="5"/>
        <v>-1235.5094145270132</v>
      </c>
      <c r="I26">
        <f t="shared" si="6"/>
        <v>-1253.6410419014776</v>
      </c>
      <c r="J26">
        <f t="shared" si="2"/>
        <v>1276.5736759201279</v>
      </c>
      <c r="K26">
        <f t="shared" si="7"/>
        <v>1348.2113826476668</v>
      </c>
    </row>
    <row r="27" spans="2:11" x14ac:dyDescent="0.2">
      <c r="B27">
        <f t="shared" si="3"/>
        <v>17</v>
      </c>
      <c r="D27" s="4">
        <f t="shared" si="8"/>
        <v>5.3360808732779859</v>
      </c>
      <c r="E27" s="5">
        <f t="shared" si="9"/>
        <v>33.735603612127086</v>
      </c>
      <c r="F27">
        <f t="shared" si="1"/>
        <v>28.3995227388491</v>
      </c>
      <c r="G27">
        <f t="shared" si="4"/>
        <v>-1064.4937313583225</v>
      </c>
      <c r="H27">
        <f t="shared" si="5"/>
        <v>-1215.0591965624235</v>
      </c>
      <c r="I27">
        <f t="shared" si="6"/>
        <v>-1234.276915473991</v>
      </c>
      <c r="J27">
        <f t="shared" si="2"/>
        <v>1264.08142660762</v>
      </c>
      <c r="K27">
        <f t="shared" si="7"/>
        <v>1333.3399253481041</v>
      </c>
    </row>
    <row r="28" spans="2:11" x14ac:dyDescent="0.2">
      <c r="B28">
        <f t="shared" si="3"/>
        <v>18</v>
      </c>
      <c r="D28" s="4">
        <f t="shared" si="8"/>
        <v>5.3578207272752785</v>
      </c>
      <c r="E28" s="5">
        <f t="shared" si="9"/>
        <v>34.130813405684258</v>
      </c>
      <c r="F28">
        <f t="shared" si="1"/>
        <v>28.772992678408979</v>
      </c>
      <c r="G28">
        <f t="shared" si="4"/>
        <v>-1035.7207386799134</v>
      </c>
      <c r="H28">
        <f t="shared" si="5"/>
        <v>-1194.1039313401336</v>
      </c>
      <c r="I28">
        <f t="shared" si="6"/>
        <v>-1214.3997555870469</v>
      </c>
      <c r="J28">
        <f t="shared" si="2"/>
        <v>1251.0601355873118</v>
      </c>
      <c r="K28">
        <f t="shared" si="7"/>
        <v>1317.9475749699532</v>
      </c>
    </row>
    <row r="29" spans="2:11" x14ac:dyDescent="0.2">
      <c r="B29">
        <f t="shared" si="3"/>
        <v>19</v>
      </c>
      <c r="D29" s="4">
        <f t="shared" si="8"/>
        <v>5.3796491521287946</v>
      </c>
      <c r="E29" s="5">
        <f t="shared" si="9"/>
        <v>34.53065304913887</v>
      </c>
      <c r="F29">
        <f t="shared" si="1"/>
        <v>29.151003897010074</v>
      </c>
      <c r="G29">
        <f t="shared" si="4"/>
        <v>-1006.5697347829033</v>
      </c>
      <c r="H29">
        <f t="shared" si="5"/>
        <v>-1172.6358280918396</v>
      </c>
      <c r="I29">
        <f t="shared" si="6"/>
        <v>-1194.0013233635902</v>
      </c>
      <c r="J29">
        <f t="shared" si="2"/>
        <v>1237.4986749798966</v>
      </c>
      <c r="K29">
        <f t="shared" si="7"/>
        <v>1302.024606676848</v>
      </c>
    </row>
    <row r="30" spans="2:11" x14ac:dyDescent="0.2">
      <c r="B30">
        <f t="shared" si="3"/>
        <v>20</v>
      </c>
      <c r="D30" s="4">
        <f t="shared" si="8"/>
        <v>5.401566508687166</v>
      </c>
      <c r="E30" s="5">
        <f t="shared" si="9"/>
        <v>34.935176780797811</v>
      </c>
      <c r="F30">
        <f t="shared" si="1"/>
        <v>29.533610272110643</v>
      </c>
      <c r="G30">
        <f t="shared" si="4"/>
        <v>-977.03612451079266</v>
      </c>
      <c r="H30">
        <f t="shared" si="5"/>
        <v>-1150.6469920457407</v>
      </c>
      <c r="I30">
        <f t="shared" si="6"/>
        <v>-1173.0732666688561</v>
      </c>
      <c r="J30">
        <f t="shared" si="2"/>
        <v>1223.3857245044776</v>
      </c>
      <c r="K30">
        <f t="shared" si="7"/>
        <v>1285.5611449171149</v>
      </c>
    </row>
    <row r="31" spans="2:11" x14ac:dyDescent="0.2">
      <c r="B31">
        <f t="shared" si="3"/>
        <v>21</v>
      </c>
      <c r="D31" s="4">
        <f t="shared" si="8"/>
        <v>5.4235731592691669</v>
      </c>
      <c r="E31" s="5">
        <f t="shared" si="9"/>
        <v>35.344439474365245</v>
      </c>
      <c r="F31">
        <f t="shared" si="1"/>
        <v>29.920866315096077</v>
      </c>
      <c r="G31">
        <f t="shared" si="4"/>
        <v>-947.11525819569658</v>
      </c>
      <c r="H31">
        <f t="shared" si="5"/>
        <v>-1128.1294231234519</v>
      </c>
      <c r="I31">
        <f t="shared" si="6"/>
        <v>-1151.6071186601594</v>
      </c>
      <c r="J31">
        <f t="shared" si="2"/>
        <v>1208.7097684497303</v>
      </c>
      <c r="K31">
        <f t="shared" si="7"/>
        <v>1268.5471612886759</v>
      </c>
    </row>
    <row r="32" spans="2:11" x14ac:dyDescent="0.2">
      <c r="B32">
        <f t="shared" si="3"/>
        <v>22</v>
      </c>
      <c r="D32" s="4">
        <f t="shared" si="8"/>
        <v>5.4456694676697026</v>
      </c>
      <c r="E32" s="5">
        <f t="shared" si="9"/>
        <v>35.75849664638622</v>
      </c>
      <c r="F32">
        <f t="shared" si="1"/>
        <v>30.312827178716518</v>
      </c>
      <c r="G32">
        <f t="shared" si="4"/>
        <v>-916.80243101698011</v>
      </c>
      <c r="H32">
        <f t="shared" si="5"/>
        <v>-1105.0750146210924</v>
      </c>
      <c r="I32">
        <f t="shared" si="6"/>
        <v>-1129.5942963187911</v>
      </c>
      <c r="J32">
        <f t="shared" si="2"/>
        <v>1193.4590925999275</v>
      </c>
      <c r="K32">
        <f t="shared" si="7"/>
        <v>1250.9724723752449</v>
      </c>
    </row>
    <row r="33" spans="2:11" x14ac:dyDescent="0.2">
      <c r="B33">
        <f t="shared" si="3"/>
        <v>23</v>
      </c>
      <c r="D33" s="4">
        <f t="shared" si="8"/>
        <v>5.4678557991658234</v>
      </c>
      <c r="E33" s="5">
        <f t="shared" si="9"/>
        <v>36.177404463777492</v>
      </c>
      <c r="F33">
        <f t="shared" si="1"/>
        <v>30.709548664611667</v>
      </c>
      <c r="G33">
        <f t="shared" si="4"/>
        <v>-886.09288235236841</v>
      </c>
      <c r="H33">
        <f t="shared" si="5"/>
        <v>-1081.4755518743652</v>
      </c>
      <c r="I33">
        <f t="shared" si="6"/>
        <v>-1107.0260989638127</v>
      </c>
      <c r="J33">
        <f t="shared" si="2"/>
        <v>1177.6217811151776</v>
      </c>
      <c r="K33">
        <f t="shared" si="7"/>
        <v>1232.8267375534458</v>
      </c>
    </row>
    <row r="34" spans="2:11" x14ac:dyDescent="0.2">
      <c r="B34">
        <f t="shared" si="3"/>
        <v>24</v>
      </c>
      <c r="D34" s="4">
        <f t="shared" si="8"/>
        <v>5.4901325205227645</v>
      </c>
      <c r="E34" s="5">
        <f t="shared" si="9"/>
        <v>36.601219751446578</v>
      </c>
      <c r="F34">
        <f t="shared" si="1"/>
        <v>31.111087230923815</v>
      </c>
      <c r="G34">
        <f t="shared" si="4"/>
        <v>-854.98179512144463</v>
      </c>
      <c r="H34">
        <f t="shared" si="5"/>
        <v>-1057.3227109074337</v>
      </c>
      <c r="I34">
        <f t="shared" si="6"/>
        <v>-1083.8937067475226</v>
      </c>
      <c r="J34">
        <f t="shared" si="2"/>
        <v>1161.1857133652197</v>
      </c>
      <c r="K34">
        <f t="shared" si="7"/>
        <v>1214.0994567704709</v>
      </c>
    </row>
    <row r="35" spans="2:11" x14ac:dyDescent="0.2">
      <c r="B35">
        <f t="shared" si="3"/>
        <v>25</v>
      </c>
      <c r="D35" s="4">
        <f t="shared" si="8"/>
        <v>5.5125000000000073</v>
      </c>
      <c r="E35" s="5">
        <f t="shared" si="9"/>
        <v>37.030000000000072</v>
      </c>
      <c r="F35">
        <f t="shared" si="1"/>
        <v>31.517500000000066</v>
      </c>
      <c r="G35">
        <f t="shared" si="4"/>
        <v>-823.46429512144459</v>
      </c>
      <c r="H35">
        <f t="shared" si="5"/>
        <v>-1032.6080570654024</v>
      </c>
      <c r="I35">
        <f t="shared" si="6"/>
        <v>-1060.1881791323779</v>
      </c>
      <c r="J35">
        <f t="shared" si="2"/>
        <v>1144.1385607161058</v>
      </c>
      <c r="K35">
        <f t="shared" si="7"/>
        <v>1194.7799682918999</v>
      </c>
    </row>
    <row r="36" spans="2:11" x14ac:dyDescent="0.2">
      <c r="B36">
        <f t="shared" si="3"/>
        <v>26</v>
      </c>
      <c r="D36" s="4">
        <f t="shared" si="8"/>
        <v>5.5349586073573684</v>
      </c>
      <c r="E36" s="5">
        <f t="shared" si="9"/>
        <v>37.463803373542241</v>
      </c>
      <c r="F36">
        <f t="shared" si="1"/>
        <v>31.928844766184874</v>
      </c>
      <c r="G36">
        <f t="shared" si="4"/>
        <v>-791.53545035525974</v>
      </c>
      <c r="H36">
        <f t="shared" si="5"/>
        <v>-1007.3230436302084</v>
      </c>
      <c r="I36">
        <f t="shared" si="6"/>
        <v>-1035.9004533491461</v>
      </c>
      <c r="J36">
        <f t="shared" si="2"/>
        <v>1126.4677832690954</v>
      </c>
      <c r="K36">
        <f t="shared" si="7"/>
        <v>1174.8574464192914</v>
      </c>
    </row>
    <row r="37" spans="2:11" x14ac:dyDescent="0.2">
      <c r="B37">
        <f t="shared" si="3"/>
        <v>27</v>
      </c>
      <c r="D37" s="4">
        <f t="shared" si="8"/>
        <v>5.5575087138611119</v>
      </c>
      <c r="E37" s="5">
        <f t="shared" si="9"/>
        <v>37.902688717565013</v>
      </c>
      <c r="F37">
        <f t="shared" si="1"/>
        <v>32.345180003703902</v>
      </c>
      <c r="G37">
        <f t="shared" si="4"/>
        <v>-759.1902703515558</v>
      </c>
      <c r="H37">
        <f t="shared" si="5"/>
        <v>-981.45901041972149</v>
      </c>
      <c r="I37">
        <f t="shared" si="6"/>
        <v>-1011.0213428360621</v>
      </c>
      <c r="J37">
        <f t="shared" si="2"/>
        <v>1108.1606265510759</v>
      </c>
      <c r="K37">
        <f t="shared" si="7"/>
        <v>1154.320899177153</v>
      </c>
    </row>
    <row r="38" spans="2:11" x14ac:dyDescent="0.2">
      <c r="B38">
        <f t="shared" si="3"/>
        <v>28</v>
      </c>
      <c r="D38" s="4">
        <f t="shared" si="8"/>
        <v>5.5801506922900863</v>
      </c>
      <c r="E38" s="5">
        <f t="shared" si="9"/>
        <v>38.346715566930349</v>
      </c>
      <c r="F38">
        <f t="shared" si="1"/>
        <v>32.766564874640267</v>
      </c>
      <c r="G38">
        <f t="shared" si="4"/>
        <v>-726.42370547691553</v>
      </c>
      <c r="H38">
        <f t="shared" si="5"/>
        <v>-955.00718236985585</v>
      </c>
      <c r="I38">
        <f t="shared" si="6"/>
        <v>-985.54153565875606</v>
      </c>
      <c r="J38">
        <f t="shared" si="2"/>
        <v>1089.204118155812</v>
      </c>
      <c r="K38">
        <f t="shared" si="7"/>
        <v>1133.1591659688943</v>
      </c>
    </row>
    <row r="39" spans="2:11" x14ac:dyDescent="0.2">
      <c r="B39">
        <f t="shared" si="3"/>
        <v>29</v>
      </c>
      <c r="D39" s="4">
        <f t="shared" si="8"/>
        <v>5.6028849169418873</v>
      </c>
      <c r="E39" s="5">
        <f t="shared" si="9"/>
        <v>38.795944153946188</v>
      </c>
      <c r="F39">
        <f t="shared" si="1"/>
        <v>33.193059237004299</v>
      </c>
      <c r="G39">
        <f t="shared" si="4"/>
        <v>-693.23064623991127</v>
      </c>
      <c r="H39">
        <f t="shared" si="5"/>
        <v>-927.95866809948882</v>
      </c>
      <c r="I39">
        <f t="shared" si="6"/>
        <v>-959.45159291072639</v>
      </c>
      <c r="J39">
        <f t="shared" si="2"/>
        <v>1069.5850643353208</v>
      </c>
      <c r="K39">
        <f t="shared" si="7"/>
        <v>1111.3609152013585</v>
      </c>
    </row>
    <row r="40" spans="2:11" x14ac:dyDescent="0.2">
      <c r="B40">
        <f t="shared" si="3"/>
        <v>30</v>
      </c>
      <c r="D40" s="4">
        <f t="shared" si="8"/>
        <v>5.6257117636390452</v>
      </c>
      <c r="E40" s="5">
        <f t="shared" si="9"/>
        <v>39.250435416536938</v>
      </c>
      <c r="F40">
        <f t="shared" si="1"/>
        <v>33.624723652897892</v>
      </c>
      <c r="G40">
        <f t="shared" si="4"/>
        <v>-659.60592258701342</v>
      </c>
      <c r="H40">
        <f t="shared" si="5"/>
        <v>-900.30445845798181</v>
      </c>
      <c r="I40">
        <f t="shared" si="6"/>
        <v>-932.74194709411859</v>
      </c>
      <c r="J40">
        <f t="shared" si="2"/>
        <v>1049.2900465406535</v>
      </c>
      <c r="K40">
        <f t="shared" si="7"/>
        <v>1088.9146418775281</v>
      </c>
    </row>
    <row r="41" spans="2:11" x14ac:dyDescent="0.2">
      <c r="B41">
        <f t="shared" si="3"/>
        <v>31</v>
      </c>
      <c r="D41" s="4">
        <f t="shared" si="8"/>
        <v>5.6486316097352374</v>
      </c>
      <c r="E41" s="5">
        <f t="shared" si="9"/>
        <v>39.710251006509736</v>
      </c>
      <c r="F41">
        <f t="shared" si="1"/>
        <v>34.061619396774496</v>
      </c>
      <c r="G41">
        <f t="shared" si="4"/>
        <v>-625.54430319023891</v>
      </c>
      <c r="H41">
        <f t="shared" si="5"/>
        <v>-872.03542505509631</v>
      </c>
      <c r="I41">
        <f t="shared" si="6"/>
        <v>-905.40290048057432</v>
      </c>
      <c r="J41">
        <f t="shared" si="2"/>
        <v>1028.305417911364</v>
      </c>
      <c r="K41">
        <f t="shared" si="7"/>
        <v>1065.8086651569872</v>
      </c>
    </row>
    <row r="42" spans="2:11" x14ac:dyDescent="0.2">
      <c r="B42">
        <f t="shared" si="3"/>
        <v>32</v>
      </c>
      <c r="D42" s="4">
        <f t="shared" si="8"/>
        <v>5.671644834121528</v>
      </c>
      <c r="E42" s="5">
        <f t="shared" si="9"/>
        <v>40.175453297917521</v>
      </c>
      <c r="F42">
        <f t="shared" si="1"/>
        <v>34.503808463795991</v>
      </c>
      <c r="G42">
        <f t="shared" si="4"/>
        <v>-591.04049472644294</v>
      </c>
      <c r="H42">
        <f t="shared" si="5"/>
        <v>-843.14231877309453</v>
      </c>
      <c r="I42">
        <f t="shared" si="6"/>
        <v>-877.42462345190984</v>
      </c>
      <c r="J42">
        <f t="shared" si="2"/>
        <v>1006.6172997129235</v>
      </c>
      <c r="K42">
        <f t="shared" si="7"/>
        <v>1042.0311258837269</v>
      </c>
    </row>
    <row r="43" spans="2:11" x14ac:dyDescent="0.2">
      <c r="B43">
        <f t="shared" si="3"/>
        <v>33</v>
      </c>
      <c r="D43" s="4">
        <f t="shared" si="8"/>
        <v>5.6947518172326292</v>
      </c>
      <c r="E43" s="5">
        <f t="shared" si="9"/>
        <v>40.646105395520074</v>
      </c>
      <c r="F43">
        <f t="shared" si="1"/>
        <v>34.951353578287446</v>
      </c>
      <c r="G43">
        <f t="shared" si="4"/>
        <v>-556.08914114815548</v>
      </c>
      <c r="H43">
        <f t="shared" si="5"/>
        <v>-813.61576826081125</v>
      </c>
      <c r="I43">
        <f t="shared" si="6"/>
        <v>-848.79715282037978</v>
      </c>
      <c r="J43">
        <f t="shared" si="2"/>
        <v>984.21157772133711</v>
      </c>
      <c r="K43">
        <f t="shared" si="7"/>
        <v>1017.5699840808674</v>
      </c>
    </row>
    <row r="44" spans="2:11" x14ac:dyDescent="0.2">
      <c r="B44">
        <f t="shared" si="3"/>
        <v>34</v>
      </c>
      <c r="D44" s="4">
        <f t="shared" si="8"/>
        <v>5.7179529410531913</v>
      </c>
      <c r="E44" s="5">
        <f t="shared" si="9"/>
        <v>41.122271143344193</v>
      </c>
      <c r="F44">
        <f t="shared" si="1"/>
        <v>35.404318202291002</v>
      </c>
      <c r="G44">
        <f t="shared" si="4"/>
        <v>-520.68482294586443</v>
      </c>
      <c r="H44">
        <f t="shared" si="5"/>
        <v>-783.44627840948385</v>
      </c>
      <c r="I44">
        <f t="shared" si="6"/>
        <v>-819.51039012828153</v>
      </c>
      <c r="J44">
        <f t="shared" si="2"/>
        <v>961.07389855420797</v>
      </c>
      <c r="K44">
        <f t="shared" si="7"/>
        <v>992.41301641187056</v>
      </c>
    </row>
    <row r="45" spans="2:11" x14ac:dyDescent="0.2">
      <c r="B45">
        <f t="shared" si="3"/>
        <v>35</v>
      </c>
      <c r="D45" s="4">
        <f t="shared" si="8"/>
        <v>5.7412485891241181</v>
      </c>
      <c r="E45" s="5">
        <f t="shared" si="9"/>
        <v>41.604015133344156</v>
      </c>
      <c r="F45">
        <f t="shared" si="1"/>
        <v>35.862766544220037</v>
      </c>
      <c r="G45">
        <f t="shared" si="4"/>
        <v>-484.82205640164437</v>
      </c>
      <c r="H45">
        <f t="shared" si="5"/>
        <v>-752.6242288101206</v>
      </c>
      <c r="I45">
        <f t="shared" si="6"/>
        <v>-789.55409992664943</v>
      </c>
      <c r="J45">
        <f t="shared" si="2"/>
        <v>937.18966594747985</v>
      </c>
      <c r="K45">
        <f t="shared" si="7"/>
        <v>966.54781360780714</v>
      </c>
    </row>
    <row r="46" spans="2:11" x14ac:dyDescent="0.2">
      <c r="B46">
        <f t="shared" si="3"/>
        <v>36</v>
      </c>
      <c r="D46" s="4">
        <f t="shared" si="8"/>
        <v>5.7646391465489062</v>
      </c>
      <c r="E46" s="5">
        <f t="shared" si="9"/>
        <v>42.091402714163607</v>
      </c>
      <c r="F46">
        <f t="shared" si="1"/>
        <v>36.326763567614698</v>
      </c>
      <c r="G46">
        <f t="shared" si="4"/>
        <v>-448.49529283402967</v>
      </c>
      <c r="H46">
        <f t="shared" si="5"/>
        <v>-721.13987219218836</v>
      </c>
      <c r="I46">
        <f t="shared" si="6"/>
        <v>-758.91790803278741</v>
      </c>
      <c r="J46">
        <f t="shared" si="2"/>
        <v>912.54403697708108</v>
      </c>
      <c r="K46">
        <f t="shared" si="7"/>
        <v>939.96177786023895</v>
      </c>
    </row>
    <row r="47" spans="2:11" x14ac:dyDescent="0.2">
      <c r="B47">
        <f t="shared" si="3"/>
        <v>37</v>
      </c>
      <c r="D47" s="4">
        <f t="shared" si="8"/>
        <v>5.7881250000000115</v>
      </c>
      <c r="E47" s="5">
        <f t="shared" si="9"/>
        <v>42.584500000000126</v>
      </c>
      <c r="F47">
        <f t="shared" si="1"/>
        <v>36.796375000000111</v>
      </c>
      <c r="G47">
        <f t="shared" si="4"/>
        <v>-411.69891783402954</v>
      </c>
      <c r="H47">
        <f t="shared" si="5"/>
        <v>-688.98333284339685</v>
      </c>
      <c r="I47">
        <f t="shared" si="6"/>
        <v>-727.59129976638565</v>
      </c>
      <c r="J47">
        <f t="shared" si="2"/>
        <v>887.12191822468253</v>
      </c>
      <c r="K47">
        <f t="shared" si="7"/>
        <v>912.64212017927196</v>
      </c>
    </row>
    <row r="48" spans="2:11" x14ac:dyDescent="0.2">
      <c r="B48">
        <f t="shared" si="3"/>
        <v>38</v>
      </c>
      <c r="D48" s="4">
        <f t="shared" si="8"/>
        <v>5.8117065377252413</v>
      </c>
      <c r="E48" s="5">
        <f t="shared" si="9"/>
        <v>43.083373879573621</v>
      </c>
      <c r="F48">
        <f t="shared" si="1"/>
        <v>37.271667341848378</v>
      </c>
      <c r="G48">
        <f t="shared" si="4"/>
        <v>-374.42725049218114</v>
      </c>
      <c r="H48">
        <f t="shared" si="5"/>
        <v>-656.14460501035342</v>
      </c>
      <c r="I48">
        <f t="shared" si="6"/>
        <v>-695.56361816396179</v>
      </c>
      <c r="J48">
        <f t="shared" si="2"/>
        <v>860.90796188676882</v>
      </c>
      <c r="K48">
        <f t="shared" si="7"/>
        <v>884.57585771632853</v>
      </c>
    </row>
    <row r="49" spans="2:11" x14ac:dyDescent="0.2">
      <c r="B49">
        <f t="shared" si="3"/>
        <v>39</v>
      </c>
      <c r="D49" s="4">
        <f t="shared" si="8"/>
        <v>5.8353841495541721</v>
      </c>
      <c r="E49" s="5">
        <f t="shared" si="9"/>
        <v>43.588092025199806</v>
      </c>
      <c r="F49">
        <f t="shared" si="1"/>
        <v>37.752707875645633</v>
      </c>
      <c r="G49">
        <f t="shared" si="4"/>
        <v>-336.67454261653552</v>
      </c>
      <c r="H49">
        <f t="shared" si="5"/>
        <v>-622.61355127986064</v>
      </c>
      <c r="I49">
        <f t="shared" si="6"/>
        <v>-662.82406217136565</v>
      </c>
      <c r="J49">
        <f t="shared" si="2"/>
        <v>833.88656182621378</v>
      </c>
      <c r="K49">
        <f t="shared" si="7"/>
        <v>855.74981105118377</v>
      </c>
    </row>
    <row r="50" spans="2:11" x14ac:dyDescent="0.2">
      <c r="B50">
        <f t="shared" si="3"/>
        <v>40</v>
      </c>
      <c r="D50" s="4">
        <f t="shared" si="8"/>
        <v>5.8591582269045954</v>
      </c>
      <c r="E50" s="5">
        <f t="shared" si="9"/>
        <v>44.098722901969943</v>
      </c>
      <c r="F50">
        <f t="shared" si="1"/>
        <v>38.239564675065346</v>
      </c>
      <c r="G50">
        <f t="shared" si="4"/>
        <v>-298.43497794147015</v>
      </c>
      <c r="H50">
        <f t="shared" si="5"/>
        <v>-588.37990094062604</v>
      </c>
      <c r="I50">
        <f t="shared" si="6"/>
        <v>-629.36168481408447</v>
      </c>
      <c r="J50">
        <f t="shared" si="2"/>
        <v>806.04184956553593</v>
      </c>
      <c r="K50">
        <f t="shared" si="7"/>
        <v>826.15060144280108</v>
      </c>
    </row>
    <row r="51" spans="2:11" x14ac:dyDescent="0.2">
      <c r="B51">
        <f t="shared" si="3"/>
        <v>41</v>
      </c>
      <c r="D51" s="4">
        <f t="shared" si="8"/>
        <v>5.8830291627889864</v>
      </c>
      <c r="E51" s="5">
        <f t="shared" si="9"/>
        <v>44.615335777038155</v>
      </c>
      <c r="F51">
        <f t="shared" si="1"/>
        <v>38.732306614249168</v>
      </c>
      <c r="G51">
        <f t="shared" si="4"/>
        <v>-259.70267132722097</v>
      </c>
      <c r="H51">
        <f t="shared" si="5"/>
        <v>-553.43324832514963</v>
      </c>
      <c r="I51">
        <f t="shared" si="6"/>
        <v>-595.16539134507889</v>
      </c>
      <c r="J51">
        <f t="shared" si="2"/>
        <v>777.35769022100362</v>
      </c>
      <c r="K51">
        <f t="shared" si="7"/>
        <v>795.76464804350144</v>
      </c>
    </row>
    <row r="52" spans="2:11" x14ac:dyDescent="0.2">
      <c r="B52">
        <f t="shared" si="3"/>
        <v>42</v>
      </c>
      <c r="D52" s="4">
        <f t="shared" si="8"/>
        <v>5.9069973518210022</v>
      </c>
      <c r="E52" s="5">
        <f t="shared" si="9"/>
        <v>45.13800072901752</v>
      </c>
      <c r="F52">
        <f t="shared" si="1"/>
        <v>39.231003377196515</v>
      </c>
      <c r="G52">
        <f t="shared" si="4"/>
        <v>-220.47166795002445</v>
      </c>
      <c r="H52">
        <f t="shared" si="5"/>
        <v>-517.76305113155411</v>
      </c>
      <c r="I52">
        <f t="shared" si="6"/>
        <v>-560.22393736988136</v>
      </c>
      <c r="J52">
        <f t="shared" si="2"/>
        <v>747.81767837674181</v>
      </c>
      <c r="K52">
        <f t="shared" si="7"/>
        <v>764.57816507599057</v>
      </c>
    </row>
    <row r="53" spans="2:11" x14ac:dyDescent="0.2">
      <c r="B53">
        <f t="shared" si="3"/>
        <v>43</v>
      </c>
      <c r="D53" s="4">
        <f t="shared" si="8"/>
        <v>5.9310631902220043</v>
      </c>
      <c r="E53" s="5">
        <f t="shared" si="9"/>
        <v>45.666788657486244</v>
      </c>
      <c r="F53">
        <f t="shared" si="1"/>
        <v>39.735725467264238</v>
      </c>
      <c r="G53">
        <f t="shared" si="4"/>
        <v>-180.73594248276021</v>
      </c>
      <c r="H53">
        <f t="shared" si="5"/>
        <v>-481.35862872511751</v>
      </c>
      <c r="I53">
        <f t="shared" si="6"/>
        <v>-524.52592694868099</v>
      </c>
      <c r="J53">
        <f t="shared" si="2"/>
        <v>717.40513389798582</v>
      </c>
      <c r="K53">
        <f t="shared" si="7"/>
        <v>732.57715897276489</v>
      </c>
    </row>
    <row r="54" spans="2:11" x14ac:dyDescent="0.2">
      <c r="B54">
        <f t="shared" si="3"/>
        <v>44</v>
      </c>
      <c r="D54" s="4">
        <f t="shared" si="8"/>
        <v>5.9552270758276089</v>
      </c>
      <c r="E54" s="5">
        <f t="shared" si="9"/>
        <v>46.201771292605194</v>
      </c>
      <c r="F54">
        <f t="shared" si="1"/>
        <v>40.246544216777586</v>
      </c>
      <c r="G54">
        <f t="shared" si="4"/>
        <v>-140.48939826598263</v>
      </c>
      <c r="H54">
        <f t="shared" si="5"/>
        <v>-444.20916041926728</v>
      </c>
      <c r="I54">
        <f t="shared" si="6"/>
        <v>-488.05981067511891</v>
      </c>
      <c r="J54">
        <f t="shared" si="2"/>
        <v>686.10309768261254</v>
      </c>
      <c r="K54">
        <f t="shared" si="7"/>
        <v>699.74742547740959</v>
      </c>
    </row>
    <row r="55" spans="2:11" x14ac:dyDescent="0.2">
      <c r="B55">
        <f t="shared" si="3"/>
        <v>45</v>
      </c>
      <c r="D55" s="4">
        <f t="shared" si="8"/>
        <v>5.9794894080942651</v>
      </c>
      <c r="E55" s="5">
        <f t="shared" si="9"/>
        <v>46.743021204848134</v>
      </c>
      <c r="F55">
        <f t="shared" si="1"/>
        <v>40.763531796753867</v>
      </c>
      <c r="G55">
        <f t="shared" si="4"/>
        <v>-99.725866469228762</v>
      </c>
      <c r="H55">
        <f t="shared" si="5"/>
        <v>-406.30368373579034</v>
      </c>
      <c r="I55">
        <f t="shared" si="6"/>
        <v>-450.8138837315131</v>
      </c>
      <c r="J55">
        <f t="shared" si="2"/>
        <v>653.89432735006812</v>
      </c>
      <c r="K55">
        <f t="shared" si="7"/>
        <v>666.0745467072968</v>
      </c>
    </row>
    <row r="56" spans="2:11" x14ac:dyDescent="0.2">
      <c r="B56">
        <f t="shared" si="3"/>
        <v>46</v>
      </c>
      <c r="D56" s="4">
        <f t="shared" si="8"/>
        <v>6.0038505881058555</v>
      </c>
      <c r="E56" s="5">
        <f t="shared" si="9"/>
        <v>47.290611814845875</v>
      </c>
      <c r="F56">
        <f t="shared" si="1"/>
        <v>41.286761226740019</v>
      </c>
      <c r="G56">
        <f t="shared" si="4"/>
        <v>-58.439105242488743</v>
      </c>
      <c r="H56">
        <f t="shared" si="5"/>
        <v>-367.63109264401174</v>
      </c>
      <c r="I56">
        <f t="shared" si="6"/>
        <v>-412.77628392022939</v>
      </c>
      <c r="J56">
        <f t="shared" si="2"/>
        <v>620.76129286679884</v>
      </c>
      <c r="K56">
        <f t="shared" si="7"/>
        <v>631.54388817718507</v>
      </c>
    </row>
    <row r="57" spans="2:11" x14ac:dyDescent="0.2">
      <c r="B57">
        <f t="shared" si="3"/>
        <v>47</v>
      </c>
      <c r="D57" s="4">
        <f t="shared" si="8"/>
        <v>6.0283110185803288</v>
      </c>
      <c r="E57" s="5">
        <f t="shared" si="9"/>
        <v>47.844617403345829</v>
      </c>
      <c r="F57">
        <f t="shared" si="1"/>
        <v>41.816306384765497</v>
      </c>
      <c r="G57">
        <f t="shared" si="4"/>
        <v>-16.622798857723247</v>
      </c>
      <c r="H57">
        <f t="shared" si="5"/>
        <v>-328.18013577869129</v>
      </c>
      <c r="I57">
        <f t="shared" si="6"/>
        <v>-373.93498967091045</v>
      </c>
      <c r="J57">
        <f t="shared" si="2"/>
        <v>586.68617210728064</v>
      </c>
      <c r="K57">
        <f t="shared" si="7"/>
        <v>596.14059578321576</v>
      </c>
    </row>
    <row r="58" spans="2:11" x14ac:dyDescent="0.2">
      <c r="B58">
        <f t="shared" si="3"/>
        <v>48</v>
      </c>
      <c r="D58" s="4">
        <f t="shared" si="8"/>
        <v>6.0528711038763561</v>
      </c>
      <c r="E58" s="5">
        <f t="shared" si="9"/>
        <v>48.405113121288196</v>
      </c>
      <c r="F58">
        <f t="shared" si="1"/>
        <v>42.352242017411839</v>
      </c>
      <c r="G58">
        <f t="shared" si="4"/>
        <v>25.729443159688593</v>
      </c>
      <c r="H58">
        <f t="shared" si="5"/>
        <v>-287.93941463638453</v>
      </c>
      <c r="I58">
        <f t="shared" si="6"/>
        <v>-334.27781802327308</v>
      </c>
      <c r="J58">
        <f t="shared" si="2"/>
        <v>551.65084634972754</v>
      </c>
      <c r="K58">
        <f t="shared" si="7"/>
        <v>559.84959274679488</v>
      </c>
    </row>
    <row r="59" spans="2:11" x14ac:dyDescent="0.2">
      <c r="B59">
        <f t="shared" si="3"/>
        <v>49</v>
      </c>
      <c r="D59" s="4">
        <f t="shared" si="8"/>
        <v>6.0775312500000167</v>
      </c>
      <c r="E59" s="5">
        <f t="shared" si="9"/>
        <v>48.972175000000192</v>
      </c>
      <c r="F59">
        <f t="shared" si="1"/>
        <v>42.894643750000178</v>
      </c>
      <c r="G59">
        <f t="shared" si="4"/>
        <v>68.624086909688771</v>
      </c>
      <c r="H59">
        <f t="shared" si="5"/>
        <v>-246.89738175001162</v>
      </c>
      <c r="I59">
        <f t="shared" si="6"/>
        <v>-293.79242258517934</v>
      </c>
      <c r="J59">
        <f t="shared" si="2"/>
        <v>515.63689570554891</v>
      </c>
      <c r="K59">
        <f t="shared" si="7"/>
        <v>522.65557651784252</v>
      </c>
    </row>
    <row r="60" spans="2:11" x14ac:dyDescent="0.2">
      <c r="B60">
        <f t="shared" si="3"/>
        <v>50</v>
      </c>
      <c r="D60" s="4">
        <f t="shared" si="8"/>
        <v>6.1022918646115079</v>
      </c>
      <c r="E60" s="5">
        <f t="shared" si="9"/>
        <v>49.545879961509712</v>
      </c>
      <c r="F60">
        <f t="shared" si="1"/>
        <v>43.443588096898203</v>
      </c>
      <c r="G60">
        <f t="shared" si="4"/>
        <v>112.06767500658697</v>
      </c>
      <c r="H60">
        <f t="shared" si="5"/>
        <v>-205.042338841374</v>
      </c>
      <c r="I60">
        <f t="shared" si="6"/>
        <v>-252.46629146568361</v>
      </c>
      <c r="J60">
        <f t="shared" si="2"/>
        <v>478.62559448161142</v>
      </c>
      <c r="K60">
        <f t="shared" si="7"/>
        <v>484.54301563688603</v>
      </c>
    </row>
    <row r="61" spans="2:11" x14ac:dyDescent="0.2">
      <c r="B61">
        <f t="shared" si="3"/>
        <v>51</v>
      </c>
      <c r="D61" s="4">
        <f t="shared" si="8"/>
        <v>6.1271533570318857</v>
      </c>
      <c r="E61" s="5">
        <f t="shared" si="9"/>
        <v>50.126305828979824</v>
      </c>
      <c r="F61">
        <f t="shared" si="1"/>
        <v>43.999152471947937</v>
      </c>
      <c r="G61">
        <f t="shared" si="4"/>
        <v>156.06682747853489</v>
      </c>
      <c r="H61">
        <f t="shared" si="5"/>
        <v>-162.36243495135699</v>
      </c>
      <c r="I61">
        <f t="shared" si="6"/>
        <v>-210.28674518275488</v>
      </c>
      <c r="J61">
        <f t="shared" si="2"/>
        <v>440.59790647434858</v>
      </c>
      <c r="K61">
        <f t="shared" si="7"/>
        <v>445.496146555466</v>
      </c>
    </row>
    <row r="62" spans="2:11" x14ac:dyDescent="0.2">
      <c r="B62">
        <f t="shared" si="3"/>
        <v>52</v>
      </c>
      <c r="D62" s="4">
        <f t="shared" si="8"/>
        <v>6.1521161382498297</v>
      </c>
      <c r="E62" s="5">
        <f t="shared" si="9"/>
        <v>50.713531337265486</v>
      </c>
      <c r="F62">
        <f t="shared" si="1"/>
        <v>44.561415199015656</v>
      </c>
      <c r="G62">
        <f t="shared" si="4"/>
        <v>200.62824267755053</v>
      </c>
      <c r="H62">
        <f t="shared" si="5"/>
        <v>-118.84566454755183</v>
      </c>
      <c r="I62">
        <f t="shared" si="6"/>
        <v>-167.24093454536938</v>
      </c>
      <c r="J62">
        <f t="shared" si="2"/>
        <v>401.53448019474706</v>
      </c>
      <c r="K62">
        <f t="shared" si="7"/>
        <v>405.4989704143178</v>
      </c>
    </row>
    <row r="63" spans="2:11" x14ac:dyDescent="0.2">
      <c r="B63">
        <f t="shared" si="3"/>
        <v>53</v>
      </c>
      <c r="D63" s="4">
        <f t="shared" si="8"/>
        <v>6.1771806209284401</v>
      </c>
      <c r="E63" s="5">
        <f t="shared" si="9"/>
        <v>51.307636143593932</v>
      </c>
      <c r="F63">
        <f t="shared" si="1"/>
        <v>45.130455522665493</v>
      </c>
      <c r="G63">
        <f t="shared" si="4"/>
        <v>245.75869820021603</v>
      </c>
      <c r="H63">
        <f t="shared" si="5"/>
        <v>-74.47986560902865</v>
      </c>
      <c r="I63">
        <f t="shared" si="6"/>
        <v>-123.31583850966521</v>
      </c>
      <c r="J63">
        <f t="shared" si="2"/>
        <v>361.41564402322615</v>
      </c>
      <c r="K63">
        <f t="shared" si="7"/>
        <v>364.53524977878345</v>
      </c>
    </row>
    <row r="64" spans="2:11" x14ac:dyDescent="0.2">
      <c r="B64">
        <f t="shared" si="3"/>
        <v>54</v>
      </c>
      <c r="D64" s="4">
        <f t="shared" si="8"/>
        <v>6.2023472194120561</v>
      </c>
      <c r="E64" s="5">
        <f t="shared" si="9"/>
        <v>51.908700838370201</v>
      </c>
      <c r="F64">
        <f t="shared" si="1"/>
        <v>45.706353618958147</v>
      </c>
      <c r="G64">
        <f t="shared" si="4"/>
        <v>291.46505181917416</v>
      </c>
      <c r="H64">
        <f t="shared" si="5"/>
        <v>-29.252717687987996</v>
      </c>
      <c r="I64">
        <f t="shared" si="6"/>
        <v>-78.498262008846723</v>
      </c>
      <c r="J64">
        <f t="shared" si="2"/>
        <v>320.22140129341273</v>
      </c>
      <c r="K64">
        <f t="shared" si="7"/>
        <v>322.58850533090384</v>
      </c>
    </row>
    <row r="65" spans="2:11" x14ac:dyDescent="0.2">
      <c r="B65">
        <f t="shared" si="3"/>
        <v>55</v>
      </c>
      <c r="D65" s="4">
        <f t="shared" si="8"/>
        <v>6.2276163497331076</v>
      </c>
      <c r="E65" s="5">
        <f t="shared" si="9"/>
        <v>52.516806956109235</v>
      </c>
      <c r="F65">
        <f t="shared" si="1"/>
        <v>46.289190606376124</v>
      </c>
      <c r="G65">
        <f t="shared" si="4"/>
        <v>337.75424242555027</v>
      </c>
      <c r="H65">
        <f t="shared" si="5"/>
        <v>16.848260051984184</v>
      </c>
      <c r="I65">
        <f t="shared" si="6"/>
        <v>-32.774833756523165</v>
      </c>
      <c r="J65">
        <f t="shared" si="2"/>
        <v>277.93142530379987</v>
      </c>
      <c r="K65">
        <f t="shared" si="7"/>
        <v>279.64201251763239</v>
      </c>
    </row>
    <row r="66" spans="2:11" x14ac:dyDescent="0.2">
      <c r="B66">
        <f t="shared" si="3"/>
        <v>56</v>
      </c>
      <c r="D66" s="4">
        <f t="shared" si="8"/>
        <v>6.252988429618993</v>
      </c>
      <c r="E66" s="5">
        <f t="shared" si="9"/>
        <v>53.132036986496033</v>
      </c>
      <c r="F66">
        <f t="shared" si="1"/>
        <v>46.879048556877038</v>
      </c>
      <c r="G66">
        <f t="shared" si="4"/>
        <v>384.6332909824273</v>
      </c>
      <c r="H66">
        <f t="shared" si="5"/>
        <v>63.83571082133686</v>
      </c>
      <c r="I66">
        <f t="shared" si="6"/>
        <v>13.867995976837982</v>
      </c>
      <c r="J66">
        <f t="shared" si="2"/>
        <v>234.52505425626384</v>
      </c>
      <c r="K66">
        <f t="shared" si="7"/>
        <v>235.67879815460498</v>
      </c>
    </row>
    <row r="67" spans="2:11" x14ac:dyDescent="0.2">
      <c r="B67">
        <f t="shared" si="3"/>
        <v>57</v>
      </c>
      <c r="D67" s="4">
        <f t="shared" si="8"/>
        <v>6.2784638784989815</v>
      </c>
      <c r="E67" s="5">
        <f t="shared" si="9"/>
        <v>53.754474385575413</v>
      </c>
      <c r="F67">
        <f t="shared" si="1"/>
        <v>47.476010507076431</v>
      </c>
      <c r="G67">
        <f t="shared" si="4"/>
        <v>432.10930148950371</v>
      </c>
      <c r="H67">
        <f t="shared" si="5"/>
        <v>111.72244221393123</v>
      </c>
      <c r="I67">
        <f t="shared" si="6"/>
        <v>61.443957614666367</v>
      </c>
      <c r="J67">
        <f t="shared" si="2"/>
        <v>189.98128612039903</v>
      </c>
      <c r="K67">
        <f t="shared" si="7"/>
        <v>190.6816369848944</v>
      </c>
    </row>
    <row r="68" spans="2:11" x14ac:dyDescent="0.2">
      <c r="B68">
        <f t="shared" si="3"/>
        <v>58</v>
      </c>
      <c r="D68" s="4">
        <f t="shared" si="8"/>
        <v>6.3040431175111511</v>
      </c>
      <c r="E68" s="5">
        <f t="shared" si="9"/>
        <v>54.384203587072818</v>
      </c>
      <c r="F68">
        <f t="shared" si="1"/>
        <v>48.080160469561669</v>
      </c>
      <c r="G68">
        <f t="shared" si="4"/>
        <v>480.1894619590654</v>
      </c>
      <c r="H68">
        <f t="shared" si="5"/>
        <v>160.52142824066044</v>
      </c>
      <c r="I68">
        <f t="shared" si="6"/>
        <v>109.96696455257994</v>
      </c>
      <c r="J68">
        <f t="shared" si="2"/>
        <v>144.27877342261718</v>
      </c>
      <c r="K68">
        <f t="shared" si="7"/>
        <v>144.63304819216921</v>
      </c>
    </row>
    <row r="69" spans="2:11" x14ac:dyDescent="0.2">
      <c r="B69">
        <f t="shared" si="3"/>
        <v>59</v>
      </c>
      <c r="D69" s="4">
        <f t="shared" si="8"/>
        <v>6.3297265695093481</v>
      </c>
      <c r="E69" s="5">
        <f t="shared" si="9"/>
        <v>55.021310013847767</v>
      </c>
      <c r="F69">
        <f t="shared" si="1"/>
        <v>48.69158344433842</v>
      </c>
      <c r="G69">
        <f t="shared" si="4"/>
        <v>528.88104540340385</v>
      </c>
      <c r="H69">
        <f t="shared" si="5"/>
        <v>210.24581138760001</v>
      </c>
      <c r="I69">
        <f t="shared" si="6"/>
        <v>159.45111546454297</v>
      </c>
      <c r="J69">
        <f t="shared" si="2"/>
        <v>97.395817958941421</v>
      </c>
      <c r="K69">
        <f t="shared" si="7"/>
        <v>97.515291867670371</v>
      </c>
    </row>
    <row r="70" spans="2:11" x14ac:dyDescent="0.2">
      <c r="B70">
        <f t="shared" si="3"/>
        <v>60</v>
      </c>
      <c r="D70" s="4">
        <f t="shared" si="8"/>
        <v>6.3555146590701774</v>
      </c>
      <c r="E70" s="5">
        <f t="shared" si="9"/>
        <v>55.66588008948149</v>
      </c>
      <c r="F70">
        <f t="shared" si="1"/>
        <v>49.310365430411309</v>
      </c>
      <c r="G70">
        <f t="shared" si="4"/>
        <v>578.1914108338151</v>
      </c>
      <c r="H70">
        <f t="shared" si="5"/>
        <v>260.90890469898125</v>
      </c>
      <c r="I70">
        <f t="shared" si="6"/>
        <v>209.9106966372259</v>
      </c>
      <c r="J70">
        <f t="shared" si="2"/>
        <v>49.310365430411309</v>
      </c>
      <c r="K70">
        <f t="shared" si="7"/>
        <v>49.310365430411309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H25" sqref="H25"/>
    </sheetView>
  </sheetViews>
  <sheetFormatPr defaultRowHeight="12.75" x14ac:dyDescent="0.2"/>
  <sheetData>
    <row r="3" spans="1:2" x14ac:dyDescent="0.2">
      <c r="B3" s="39" t="s">
        <v>101</v>
      </c>
    </row>
    <row r="4" spans="1:2" x14ac:dyDescent="0.2">
      <c r="B4" t="s">
        <v>102</v>
      </c>
    </row>
    <row r="5" spans="1:2" x14ac:dyDescent="0.2">
      <c r="A5" s="45" t="s">
        <v>87</v>
      </c>
      <c r="B5" t="s">
        <v>103</v>
      </c>
    </row>
    <row r="6" spans="1:2" x14ac:dyDescent="0.2">
      <c r="A6" s="45" t="s">
        <v>105</v>
      </c>
      <c r="B6" t="s">
        <v>104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workbookViewId="0">
      <selection activeCell="F25" sqref="F25"/>
    </sheetView>
  </sheetViews>
  <sheetFormatPr defaultRowHeight="12.75" x14ac:dyDescent="0.2"/>
  <cols>
    <col min="3" max="3" width="13.5703125" bestFit="1" customWidth="1"/>
    <col min="4" max="4" width="15.85546875" customWidth="1"/>
    <col min="5" max="5" width="15.42578125" customWidth="1"/>
    <col min="6" max="6" width="18.28515625" customWidth="1"/>
    <col min="7" max="7" width="12" customWidth="1"/>
    <col min="8" max="8" width="11.85546875" customWidth="1"/>
    <col min="9" max="9" width="17.85546875" customWidth="1"/>
  </cols>
  <sheetData>
    <row r="3" spans="2:6" x14ac:dyDescent="0.2">
      <c r="C3" t="s">
        <v>106</v>
      </c>
      <c r="D3" s="44">
        <f>15*10^7</f>
        <v>150000000</v>
      </c>
    </row>
    <row r="4" spans="2:6" x14ac:dyDescent="0.2">
      <c r="C4" t="s">
        <v>107</v>
      </c>
      <c r="D4">
        <f>(1-(1.08)^(-5))/0.08</f>
        <v>3.992710037078087</v>
      </c>
      <c r="E4" s="45" t="s">
        <v>105</v>
      </c>
    </row>
    <row r="5" spans="2:6" x14ac:dyDescent="0.2">
      <c r="C5" t="s">
        <v>108</v>
      </c>
      <c r="D5" s="44">
        <f>D3/D4</f>
        <v>37568468.185025476</v>
      </c>
      <c r="E5" s="45" t="s">
        <v>105</v>
      </c>
    </row>
    <row r="7" spans="2:6" ht="14.25" x14ac:dyDescent="0.2">
      <c r="C7" s="39" t="s">
        <v>109</v>
      </c>
      <c r="E7" s="11"/>
    </row>
    <row r="9" spans="2:6" ht="14.25" x14ac:dyDescent="0.2">
      <c r="C9" s="11" t="s">
        <v>87</v>
      </c>
      <c r="D9" s="11" t="s">
        <v>87</v>
      </c>
      <c r="E9" s="11" t="s">
        <v>87</v>
      </c>
      <c r="F9" s="11" t="s">
        <v>87</v>
      </c>
    </row>
    <row r="10" spans="2:6" x14ac:dyDescent="0.2">
      <c r="B10" s="39" t="s">
        <v>110</v>
      </c>
      <c r="C10" s="39" t="s">
        <v>20</v>
      </c>
      <c r="D10" s="39" t="s">
        <v>111</v>
      </c>
      <c r="E10" s="39" t="s">
        <v>18</v>
      </c>
      <c r="F10" s="39" t="s">
        <v>19</v>
      </c>
    </row>
    <row r="11" spans="2:6" x14ac:dyDescent="0.2">
      <c r="F11" s="22">
        <f>D3</f>
        <v>150000000</v>
      </c>
    </row>
    <row r="12" spans="2:6" x14ac:dyDescent="0.2">
      <c r="B12">
        <v>1</v>
      </c>
      <c r="C12" s="22">
        <f>$D$5</f>
        <v>37568468.185025476</v>
      </c>
      <c r="D12" s="22">
        <f>F11*8%</f>
        <v>12000000</v>
      </c>
      <c r="E12" s="22">
        <f>C12-D12</f>
        <v>25568468.185025476</v>
      </c>
      <c r="F12" s="44">
        <f>F11-E12</f>
        <v>124431531.81497452</v>
      </c>
    </row>
    <row r="13" spans="2:6" x14ac:dyDescent="0.2">
      <c r="B13">
        <v>2</v>
      </c>
      <c r="C13" s="22">
        <f t="shared" ref="C13:C16" si="0">$D$5</f>
        <v>37568468.185025476</v>
      </c>
      <c r="D13">
        <f t="shared" ref="D13:D16" si="1">F12*8%</f>
        <v>9954522.5451979619</v>
      </c>
      <c r="E13">
        <f t="shared" ref="E13:E16" si="2">C13-D13</f>
        <v>27613945.639827512</v>
      </c>
      <c r="F13" s="44">
        <f t="shared" ref="F13:F16" si="3">F12-E13</f>
        <v>96817586.175146997</v>
      </c>
    </row>
    <row r="14" spans="2:6" x14ac:dyDescent="0.2">
      <c r="B14">
        <v>3</v>
      </c>
      <c r="C14" s="22">
        <f t="shared" si="0"/>
        <v>37568468.185025476</v>
      </c>
      <c r="D14">
        <f t="shared" si="1"/>
        <v>7745406.8940117601</v>
      </c>
      <c r="E14">
        <f t="shared" si="2"/>
        <v>29823061.291013718</v>
      </c>
      <c r="F14" s="44">
        <f t="shared" si="3"/>
        <v>66994524.884133279</v>
      </c>
    </row>
    <row r="15" spans="2:6" x14ac:dyDescent="0.2">
      <c r="B15">
        <v>4</v>
      </c>
      <c r="C15" s="22">
        <f t="shared" si="0"/>
        <v>37568468.185025476</v>
      </c>
      <c r="D15">
        <f t="shared" si="1"/>
        <v>5359561.9907306628</v>
      </c>
      <c r="E15">
        <f t="shared" si="2"/>
        <v>32208906.194294814</v>
      </c>
      <c r="F15" s="44">
        <f t="shared" si="3"/>
        <v>34785618.689838469</v>
      </c>
    </row>
    <row r="16" spans="2:6" x14ac:dyDescent="0.2">
      <c r="B16">
        <v>5</v>
      </c>
      <c r="C16" s="22">
        <f t="shared" si="0"/>
        <v>37568468.185025476</v>
      </c>
      <c r="D16">
        <f t="shared" si="1"/>
        <v>2782849.4951870777</v>
      </c>
      <c r="E16">
        <f t="shared" si="2"/>
        <v>34785618.689838395</v>
      </c>
      <c r="F16" s="44">
        <f t="shared" si="3"/>
        <v>7.4505805969238281E-8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opLeftCell="A61" workbookViewId="0">
      <selection activeCell="K20" sqref="K20"/>
    </sheetView>
  </sheetViews>
  <sheetFormatPr defaultRowHeight="12.75" x14ac:dyDescent="0.2"/>
  <cols>
    <col min="1" max="1" width="12.28515625" customWidth="1"/>
    <col min="2" max="3" width="10.85546875" customWidth="1"/>
    <col min="4" max="4" width="11.85546875" customWidth="1"/>
    <col min="6" max="8" width="9.85546875" customWidth="1"/>
    <col min="9" max="9" width="5.28515625" customWidth="1"/>
  </cols>
  <sheetData>
    <row r="1" spans="1:9" ht="20.25" x14ac:dyDescent="0.3">
      <c r="A1" s="12" t="s">
        <v>21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4" t="s">
        <v>22</v>
      </c>
    </row>
    <row r="3" spans="1:9" x14ac:dyDescent="0.2">
      <c r="A3" s="15" t="s">
        <v>23</v>
      </c>
      <c r="B3" s="15" t="s">
        <v>24</v>
      </c>
      <c r="C3" s="15" t="s">
        <v>25</v>
      </c>
      <c r="D3" s="15" t="s">
        <v>26</v>
      </c>
      <c r="F3" s="15" t="s">
        <v>27</v>
      </c>
      <c r="G3" s="15" t="s">
        <v>28</v>
      </c>
      <c r="H3" s="15" t="s">
        <v>29</v>
      </c>
      <c r="I3" s="15" t="s">
        <v>23</v>
      </c>
    </row>
    <row r="4" spans="1:9" ht="15" x14ac:dyDescent="0.25">
      <c r="A4" s="16">
        <v>17</v>
      </c>
      <c r="B4" s="17">
        <v>99978.091000000015</v>
      </c>
      <c r="C4" s="17"/>
      <c r="D4" s="17">
        <v>100000</v>
      </c>
      <c r="E4" s="18"/>
      <c r="F4" s="17">
        <v>42.69100000000617</v>
      </c>
      <c r="G4" s="17"/>
      <c r="H4" s="17">
        <v>59.999999999999993</v>
      </c>
      <c r="I4" s="16">
        <v>17</v>
      </c>
    </row>
    <row r="5" spans="1:9" ht="15" x14ac:dyDescent="0.25">
      <c r="A5" s="16">
        <v>18</v>
      </c>
      <c r="B5" s="17">
        <v>99918.903999999995</v>
      </c>
      <c r="C5" s="17">
        <v>99935.400000000009</v>
      </c>
      <c r="D5" s="17">
        <v>99940</v>
      </c>
      <c r="E5" s="18"/>
      <c r="F5" s="17">
        <v>42.56600000000617</v>
      </c>
      <c r="G5" s="17">
        <v>54.764360000015586</v>
      </c>
      <c r="H5" s="17">
        <v>59.364359999999579</v>
      </c>
      <c r="I5" s="16">
        <v>18</v>
      </c>
    </row>
    <row r="6" spans="1:9" ht="15" x14ac:dyDescent="0.25">
      <c r="A6" s="16">
        <v>19</v>
      </c>
      <c r="B6" s="17">
        <v>99860.350999999981</v>
      </c>
      <c r="C6" s="17">
        <v>99876.337999999989</v>
      </c>
      <c r="D6" s="17">
        <v>99880.635639999993</v>
      </c>
      <c r="E6" s="18"/>
      <c r="F6" s="17">
        <v>42.439999999987776</v>
      </c>
      <c r="G6" s="17">
        <v>54.332293120678514</v>
      </c>
      <c r="H6" s="17">
        <v>58.629933120682828</v>
      </c>
      <c r="I6" s="16">
        <v>19</v>
      </c>
    </row>
    <row r="7" spans="1:9" ht="15" x14ac:dyDescent="0.25">
      <c r="A7" s="16">
        <v>20</v>
      </c>
      <c r="B7" s="17">
        <v>99802.432000000001</v>
      </c>
      <c r="C7" s="17">
        <v>99817.910999999993</v>
      </c>
      <c r="D7" s="17">
        <v>99822.00570687931</v>
      </c>
      <c r="E7" s="18"/>
      <c r="F7" s="17">
        <v>42.416000000011991</v>
      </c>
      <c r="G7" s="17">
        <v>54.001700442095171</v>
      </c>
      <c r="H7" s="17">
        <v>58.096407321409053</v>
      </c>
      <c r="I7" s="16">
        <v>20</v>
      </c>
    </row>
    <row r="8" spans="1:9" ht="15" x14ac:dyDescent="0.25">
      <c r="A8" s="16">
        <v>21</v>
      </c>
      <c r="B8" s="17">
        <v>99745.046000000002</v>
      </c>
      <c r="C8" s="17">
        <v>99760.015999999989</v>
      </c>
      <c r="D8" s="17">
        <v>99763.909299557898</v>
      </c>
      <c r="E8" s="18"/>
      <c r="F8" s="17">
        <v>42.392000000007101</v>
      </c>
      <c r="G8" s="17">
        <v>53.670476107945433</v>
      </c>
      <c r="H8" s="17">
        <v>57.563775665857968</v>
      </c>
      <c r="I8" s="16">
        <v>21</v>
      </c>
    </row>
    <row r="9" spans="1:9" ht="15" x14ac:dyDescent="0.25">
      <c r="A9" s="16">
        <v>22</v>
      </c>
      <c r="B9" s="17">
        <v>99688.390999999989</v>
      </c>
      <c r="C9" s="17">
        <v>99702.653999999995</v>
      </c>
      <c r="D9" s="17">
        <v>99706.345523892043</v>
      </c>
      <c r="E9" s="18"/>
      <c r="F9" s="17">
        <v>42.56699999999546</v>
      </c>
      <c r="G9" s="17">
        <v>53.340505747619318</v>
      </c>
      <c r="H9" s="17">
        <v>57.032029639667591</v>
      </c>
      <c r="I9" s="16">
        <v>22</v>
      </c>
    </row>
    <row r="10" spans="1:9" ht="15" x14ac:dyDescent="0.25">
      <c r="A10" s="16">
        <v>23</v>
      </c>
      <c r="B10" s="17">
        <v>99631.96699999999</v>
      </c>
      <c r="C10" s="17">
        <v>99645.823999999993</v>
      </c>
      <c r="D10" s="17">
        <v>99649.313494252376</v>
      </c>
      <c r="E10" s="18"/>
      <c r="F10" s="17">
        <v>42.74199999999837</v>
      </c>
      <c r="G10" s="17">
        <v>53.210965125836083</v>
      </c>
      <c r="H10" s="17">
        <v>56.70045937822578</v>
      </c>
      <c r="I10" s="16">
        <v>23</v>
      </c>
    </row>
    <row r="11" spans="1:9" ht="15" x14ac:dyDescent="0.25">
      <c r="A11" s="16">
        <v>24</v>
      </c>
      <c r="B11" s="17">
        <v>99575.774999999994</v>
      </c>
      <c r="C11" s="17">
        <v>99589.224999999991</v>
      </c>
      <c r="D11" s="17">
        <v>99592.613034874157</v>
      </c>
      <c r="E11" s="18"/>
      <c r="F11" s="17">
        <v>42.917000000001281</v>
      </c>
      <c r="G11" s="17">
        <v>53.08097671662108</v>
      </c>
      <c r="H11" s="17">
        <v>56.469011590779708</v>
      </c>
      <c r="I11" s="16">
        <v>24</v>
      </c>
    </row>
    <row r="12" spans="1:9" ht="15" x14ac:dyDescent="0.25">
      <c r="A12" s="16">
        <v>25</v>
      </c>
      <c r="B12" s="17">
        <v>99519.913</v>
      </c>
      <c r="C12" s="17">
        <v>99532.857999999993</v>
      </c>
      <c r="D12" s="17">
        <v>99536.14402328337</v>
      </c>
      <c r="E12" s="18"/>
      <c r="F12" s="17">
        <v>43.290999999997439</v>
      </c>
      <c r="G12" s="17">
        <v>53.051434233784676</v>
      </c>
      <c r="H12" s="17">
        <v>56.337457517165596</v>
      </c>
      <c r="I12" s="16">
        <v>25</v>
      </c>
    </row>
    <row r="13" spans="1:9" ht="15" x14ac:dyDescent="0.25">
      <c r="A13" s="16">
        <v>26</v>
      </c>
      <c r="B13" s="17">
        <v>99463.981999999975</v>
      </c>
      <c r="C13" s="17">
        <v>99476.622000000003</v>
      </c>
      <c r="D13" s="17">
        <v>99479.806565766208</v>
      </c>
      <c r="E13" s="18"/>
      <c r="F13" s="17">
        <v>43.763999999981024</v>
      </c>
      <c r="G13" s="17">
        <v>53.220484556586598</v>
      </c>
      <c r="H13" s="17">
        <v>56.405050322791794</v>
      </c>
      <c r="I13" s="16">
        <v>26</v>
      </c>
    </row>
    <row r="14" spans="1:9" ht="15" x14ac:dyDescent="0.25">
      <c r="A14" s="16">
        <v>27</v>
      </c>
      <c r="B14" s="17">
        <v>99407.983999999997</v>
      </c>
      <c r="C14" s="17">
        <v>99420.217999999993</v>
      </c>
      <c r="D14" s="17">
        <v>99423.401515443416</v>
      </c>
      <c r="E14" s="18"/>
      <c r="F14" s="17">
        <v>44.434999999997672</v>
      </c>
      <c r="G14" s="17">
        <v>53.487823420378845</v>
      </c>
      <c r="H14" s="17">
        <v>56.671338863798155</v>
      </c>
      <c r="I14" s="16">
        <v>27</v>
      </c>
    </row>
    <row r="15" spans="1:9" ht="15" x14ac:dyDescent="0.25">
      <c r="A15" s="16">
        <v>28</v>
      </c>
      <c r="B15" s="17">
        <v>99351.817999999999</v>
      </c>
      <c r="C15" s="17">
        <v>99363.548999999999</v>
      </c>
      <c r="D15" s="17">
        <v>99366.730176579615</v>
      </c>
      <c r="E15" s="18"/>
      <c r="F15" s="17">
        <v>45.205000000016298</v>
      </c>
      <c r="G15" s="17">
        <v>53.855326541728573</v>
      </c>
      <c r="H15" s="17">
        <v>57.036503121344133</v>
      </c>
      <c r="I15" s="16">
        <v>28</v>
      </c>
    </row>
    <row r="16" spans="1:9" ht="15" x14ac:dyDescent="0.25">
      <c r="A16" s="16">
        <v>29</v>
      </c>
      <c r="B16" s="17">
        <v>99295.087999999989</v>
      </c>
      <c r="C16" s="17">
        <v>99306.612999999983</v>
      </c>
      <c r="D16" s="17">
        <v>99309.69367345827</v>
      </c>
      <c r="E16" s="18"/>
      <c r="F16" s="17">
        <v>46.171999999991385</v>
      </c>
      <c r="G16" s="17">
        <v>54.518948872311739</v>
      </c>
      <c r="H16" s="17">
        <v>57.599622330599232</v>
      </c>
      <c r="I16" s="16">
        <v>29</v>
      </c>
    </row>
    <row r="17" spans="1:9" ht="15" x14ac:dyDescent="0.25">
      <c r="A17" s="16">
        <v>30</v>
      </c>
      <c r="B17" s="17">
        <v>99237.497000000003</v>
      </c>
      <c r="C17" s="17">
        <v>99248.915999999997</v>
      </c>
      <c r="D17" s="17">
        <v>99252.094051127671</v>
      </c>
      <c r="E17" s="18"/>
      <c r="F17" s="17">
        <v>47.237000000008265</v>
      </c>
      <c r="G17" s="17">
        <v>55.380684362491593</v>
      </c>
      <c r="H17" s="17">
        <v>58.558735490169049</v>
      </c>
      <c r="I17" s="16">
        <v>30</v>
      </c>
    </row>
    <row r="18" spans="1:9" ht="15" x14ac:dyDescent="0.25">
      <c r="A18" s="16">
        <v>31</v>
      </c>
      <c r="B18" s="17">
        <v>99179.145000000004</v>
      </c>
      <c r="C18" s="17">
        <v>99190.26</v>
      </c>
      <c r="D18" s="17">
        <v>99193.535315637506</v>
      </c>
      <c r="E18" s="18"/>
      <c r="F18" s="17">
        <v>48.597999999998137</v>
      </c>
      <c r="G18" s="17">
        <v>56.439192622507107</v>
      </c>
      <c r="H18" s="17">
        <v>59.71450826002183</v>
      </c>
      <c r="I18" s="16">
        <v>31</v>
      </c>
    </row>
    <row r="19" spans="1:9" ht="15" x14ac:dyDescent="0.25">
      <c r="A19" s="16">
        <v>32</v>
      </c>
      <c r="B19" s="17">
        <v>99119.538</v>
      </c>
      <c r="C19" s="17">
        <v>99130.547000000006</v>
      </c>
      <c r="D19" s="17">
        <v>99133.820807377488</v>
      </c>
      <c r="E19" s="18"/>
      <c r="F19" s="17">
        <v>50.252999999996973</v>
      </c>
      <c r="G19" s="17">
        <v>57.891760060665547</v>
      </c>
      <c r="H19" s="17">
        <v>61.165567438147256</v>
      </c>
      <c r="I19" s="16">
        <v>32</v>
      </c>
    </row>
    <row r="20" spans="1:9" ht="15" x14ac:dyDescent="0.25">
      <c r="A20" s="16">
        <v>33</v>
      </c>
      <c r="B20" s="17">
        <v>99058.281999999992</v>
      </c>
      <c r="C20" s="17">
        <v>99069.285000000003</v>
      </c>
      <c r="D20" s="17">
        <v>99072.65523993934</v>
      </c>
      <c r="E20" s="18"/>
      <c r="F20" s="17">
        <v>52.203999999997905</v>
      </c>
      <c r="G20" s="17">
        <v>59.63996879325714</v>
      </c>
      <c r="H20" s="17">
        <v>63.010208732594037</v>
      </c>
      <c r="I20" s="16">
        <v>33</v>
      </c>
    </row>
    <row r="21" spans="1:9" ht="15" x14ac:dyDescent="0.25">
      <c r="A21" s="16">
        <v>34</v>
      </c>
      <c r="B21" s="17">
        <v>98994.983999999997</v>
      </c>
      <c r="C21" s="17">
        <v>99006.077999999994</v>
      </c>
      <c r="D21" s="17">
        <v>99009.645031206746</v>
      </c>
      <c r="E21" s="18"/>
      <c r="F21" s="17">
        <v>54.44800000001851</v>
      </c>
      <c r="G21" s="17">
        <v>61.77933451384888</v>
      </c>
      <c r="H21" s="17">
        <v>65.346365720597532</v>
      </c>
      <c r="I21" s="16">
        <v>34</v>
      </c>
    </row>
    <row r="22" spans="1:9" ht="15" x14ac:dyDescent="0.25">
      <c r="A22" s="16">
        <v>35</v>
      </c>
      <c r="B22" s="17">
        <v>98929.150999999998</v>
      </c>
      <c r="C22" s="17">
        <v>98940.535999999978</v>
      </c>
      <c r="D22" s="17">
        <v>98944.298665486145</v>
      </c>
      <c r="E22" s="18"/>
      <c r="F22" s="17">
        <v>57.08200000000943</v>
      </c>
      <c r="G22" s="17">
        <v>64.40995629435929</v>
      </c>
      <c r="H22" s="17">
        <v>68.172621780522604</v>
      </c>
      <c r="I22" s="16">
        <v>35</v>
      </c>
    </row>
    <row r="23" spans="1:9" ht="15" x14ac:dyDescent="0.25">
      <c r="A23" s="16">
        <v>36</v>
      </c>
      <c r="B23" s="17">
        <v>98860.39499999999</v>
      </c>
      <c r="C23" s="17">
        <v>98872.068999999989</v>
      </c>
      <c r="D23" s="17">
        <v>98876.126043705619</v>
      </c>
      <c r="E23" s="18"/>
      <c r="F23" s="17">
        <v>60.107000000003609</v>
      </c>
      <c r="G23" s="17">
        <v>67.52927155001089</v>
      </c>
      <c r="H23" s="17">
        <v>71.586315255644877</v>
      </c>
      <c r="I23" s="16">
        <v>36</v>
      </c>
    </row>
    <row r="24" spans="1:9" ht="15" x14ac:dyDescent="0.25">
      <c r="A24" s="16">
        <v>37</v>
      </c>
      <c r="B24" s="17">
        <v>98788.127999999982</v>
      </c>
      <c r="C24" s="17">
        <v>98800.287999999986</v>
      </c>
      <c r="D24" s="17">
        <v>98804.539728449978</v>
      </c>
      <c r="E24" s="18"/>
      <c r="F24" s="17">
        <v>63.619999999980791</v>
      </c>
      <c r="G24" s="17">
        <v>71.333744442279567</v>
      </c>
      <c r="H24" s="17">
        <v>75.585472892271355</v>
      </c>
      <c r="I24" s="16">
        <v>37</v>
      </c>
    </row>
    <row r="25" spans="1:9" ht="15" x14ac:dyDescent="0.25">
      <c r="A25" s="16">
        <v>38</v>
      </c>
      <c r="B25" s="17">
        <v>98711.664999999979</v>
      </c>
      <c r="C25" s="17">
        <v>98724.508000000002</v>
      </c>
      <c r="D25" s="17">
        <v>98728.954255557706</v>
      </c>
      <c r="E25" s="18"/>
      <c r="F25" s="17">
        <v>67.618000000002212</v>
      </c>
      <c r="G25" s="17">
        <v>75.820384252059739</v>
      </c>
      <c r="H25" s="17">
        <v>80.266639809760818</v>
      </c>
      <c r="I25" s="16">
        <v>38</v>
      </c>
    </row>
    <row r="26" spans="1:9" ht="15" x14ac:dyDescent="0.25">
      <c r="A26" s="16">
        <v>39</v>
      </c>
      <c r="B26" s="17">
        <v>98630.226999999984</v>
      </c>
      <c r="C26" s="17">
        <v>98644.046999999977</v>
      </c>
      <c r="D26" s="17">
        <v>98648.687615747942</v>
      </c>
      <c r="E26" s="18"/>
      <c r="F26" s="17">
        <v>72.295999999987544</v>
      </c>
      <c r="G26" s="17">
        <v>81.183742477747728</v>
      </c>
      <c r="H26" s="17">
        <v>85.824358225709133</v>
      </c>
      <c r="I26" s="16">
        <v>39</v>
      </c>
    </row>
    <row r="27" spans="1:9" ht="15" x14ac:dyDescent="0.25">
      <c r="A27" s="16">
        <v>40</v>
      </c>
      <c r="B27" s="17">
        <v>98543.035999999993</v>
      </c>
      <c r="C27" s="17">
        <v>98557.930999999997</v>
      </c>
      <c r="D27" s="17">
        <v>98562.863257522229</v>
      </c>
      <c r="E27" s="18"/>
      <c r="F27" s="17">
        <v>77.652000000001863</v>
      </c>
      <c r="G27" s="17">
        <v>87.421145350046572</v>
      </c>
      <c r="H27" s="17">
        <v>92.353402872286082</v>
      </c>
      <c r="I27" s="16">
        <v>40</v>
      </c>
    </row>
    <row r="28" spans="1:9" ht="15" x14ac:dyDescent="0.25">
      <c r="A28" s="16">
        <v>41</v>
      </c>
      <c r="B28" s="17">
        <v>98449.024999999994</v>
      </c>
      <c r="C28" s="17">
        <v>98465.383999999991</v>
      </c>
      <c r="D28" s="17">
        <v>98470.50985464995</v>
      </c>
      <c r="E28" s="18"/>
      <c r="F28" s="17">
        <v>83.780000000013388</v>
      </c>
      <c r="G28" s="17">
        <v>94.723242342646699</v>
      </c>
      <c r="H28" s="17">
        <v>99.849096992602426</v>
      </c>
      <c r="I28" s="16">
        <v>41</v>
      </c>
    </row>
    <row r="29" spans="1:9" ht="15" x14ac:dyDescent="0.25">
      <c r="A29" s="19">
        <v>42</v>
      </c>
      <c r="B29" s="20">
        <v>98347.029999999984</v>
      </c>
      <c r="C29" s="20">
        <v>98365.244999999981</v>
      </c>
      <c r="D29" s="20">
        <v>98370.660757657344</v>
      </c>
      <c r="E29" s="21"/>
      <c r="F29" s="20">
        <v>90.676000000006752</v>
      </c>
      <c r="G29" s="20">
        <v>103.18545181909576</v>
      </c>
      <c r="H29" s="20">
        <v>108.60120947645554</v>
      </c>
      <c r="I29" s="19">
        <v>42</v>
      </c>
    </row>
    <row r="30" spans="1:9" ht="15" x14ac:dyDescent="0.25">
      <c r="A30" s="16">
        <v>43</v>
      </c>
      <c r="B30" s="17">
        <v>98235.993999999992</v>
      </c>
      <c r="C30" s="20">
        <v>98256.353999999978</v>
      </c>
      <c r="D30" s="17">
        <v>98262.059548180885</v>
      </c>
      <c r="E30" s="18"/>
      <c r="F30" s="17">
        <v>98.530999999988126</v>
      </c>
      <c r="G30" s="20">
        <v>112.99501975328894</v>
      </c>
      <c r="H30" s="17">
        <v>118.7005679341928</v>
      </c>
      <c r="I30" s="16">
        <v>43</v>
      </c>
    </row>
    <row r="31" spans="1:9" ht="15" x14ac:dyDescent="0.25">
      <c r="A31" s="16">
        <v>44</v>
      </c>
      <c r="B31" s="17">
        <v>98114.472999999998</v>
      </c>
      <c r="C31" s="17">
        <v>98137.463000000003</v>
      </c>
      <c r="D31" s="20">
        <v>98143.358980246689</v>
      </c>
      <c r="E31" s="18"/>
      <c r="F31" s="17">
        <v>107.53399999999965</v>
      </c>
      <c r="G31" s="17">
        <v>124.34025712010043</v>
      </c>
      <c r="H31" s="20">
        <v>130.23623736678925</v>
      </c>
      <c r="I31" s="16">
        <v>44</v>
      </c>
    </row>
    <row r="32" spans="1:9" ht="15" x14ac:dyDescent="0.25">
      <c r="A32" s="16">
        <v>45</v>
      </c>
      <c r="B32" s="17">
        <v>97980.836999999985</v>
      </c>
      <c r="C32" s="17">
        <v>98006.938999999998</v>
      </c>
      <c r="D32" s="17">
        <v>98013.122742879903</v>
      </c>
      <c r="E32" s="18"/>
      <c r="F32" s="17">
        <v>117.67499999998836</v>
      </c>
      <c r="G32" s="17">
        <v>137.40548193840368</v>
      </c>
      <c r="H32" s="17">
        <v>143.58922481831539</v>
      </c>
      <c r="I32" s="16">
        <v>45</v>
      </c>
    </row>
    <row r="33" spans="1:9" ht="15" x14ac:dyDescent="0.25">
      <c r="A33" s="16">
        <v>46</v>
      </c>
      <c r="B33" s="17">
        <v>97833.371000000028</v>
      </c>
      <c r="C33" s="17">
        <v>97863.161999999997</v>
      </c>
      <c r="D33" s="17">
        <v>97869.533518061595</v>
      </c>
      <c r="E33" s="18"/>
      <c r="F33" s="17">
        <v>129.14000000001397</v>
      </c>
      <c r="G33" s="17">
        <v>152.3728653047001</v>
      </c>
      <c r="H33" s="17">
        <v>158.74438336630192</v>
      </c>
      <c r="I33" s="16">
        <v>46</v>
      </c>
    </row>
    <row r="34" spans="1:9" ht="15" x14ac:dyDescent="0.25">
      <c r="A34" s="16">
        <v>47</v>
      </c>
      <c r="B34" s="17">
        <v>97669.982999999993</v>
      </c>
      <c r="C34" s="17">
        <v>97704.231000000014</v>
      </c>
      <c r="D34" s="17">
        <v>97710.789134695297</v>
      </c>
      <c r="E34" s="18"/>
      <c r="F34" s="17">
        <v>142.10899999999674</v>
      </c>
      <c r="G34" s="17">
        <v>169.51670732542698</v>
      </c>
      <c r="H34" s="17">
        <v>176.07484202071646</v>
      </c>
      <c r="I34" s="16">
        <v>47</v>
      </c>
    </row>
    <row r="35" spans="1:9" ht="15" x14ac:dyDescent="0.25">
      <c r="A35" s="16">
        <v>48</v>
      </c>
      <c r="B35" s="17">
        <v>97488.603000000003</v>
      </c>
      <c r="C35" s="17">
        <v>97527.873999999996</v>
      </c>
      <c r="D35" s="17">
        <v>97534.714292674587</v>
      </c>
      <c r="E35" s="18"/>
      <c r="F35" s="17">
        <v>156.66500000000815</v>
      </c>
      <c r="G35" s="17">
        <v>189.00941362509911</v>
      </c>
      <c r="H35" s="17">
        <v>195.84970629968666</v>
      </c>
      <c r="I35" s="16">
        <v>48</v>
      </c>
    </row>
    <row r="36" spans="1:9" ht="15" x14ac:dyDescent="0.25">
      <c r="A36" s="16">
        <v>49</v>
      </c>
      <c r="B36" s="17">
        <v>97286.499000000011</v>
      </c>
      <c r="C36" s="17">
        <v>97331.937999999995</v>
      </c>
      <c r="D36" s="17">
        <v>97338.864586374897</v>
      </c>
      <c r="E36" s="18"/>
      <c r="F36" s="17">
        <v>172.97500000000582</v>
      </c>
      <c r="G36" s="17">
        <v>211.20980916317785</v>
      </c>
      <c r="H36" s="17">
        <v>218.13639553807661</v>
      </c>
      <c r="I36" s="16">
        <v>49</v>
      </c>
    </row>
    <row r="37" spans="1:9" ht="15" x14ac:dyDescent="0.25">
      <c r="A37" s="16">
        <v>50</v>
      </c>
      <c r="B37" s="17">
        <v>97060.976999999999</v>
      </c>
      <c r="C37" s="17">
        <v>97113.524000000005</v>
      </c>
      <c r="D37" s="17">
        <v>97120.728190836817</v>
      </c>
      <c r="E37" s="18"/>
      <c r="F37" s="17">
        <v>191.30800000000454</v>
      </c>
      <c r="G37" s="17">
        <v>236.37459546579339</v>
      </c>
      <c r="H37" s="17">
        <v>243.57878630260529</v>
      </c>
      <c r="I37" s="16">
        <v>50</v>
      </c>
    </row>
    <row r="38" spans="1:9" ht="15" x14ac:dyDescent="0.25">
      <c r="A38" s="16">
        <v>51</v>
      </c>
      <c r="B38" s="17">
        <v>96808.989999999991</v>
      </c>
      <c r="C38" s="17">
        <v>96869.668999999994</v>
      </c>
      <c r="D38" s="17">
        <v>96877.149404534211</v>
      </c>
      <c r="E38" s="18"/>
      <c r="F38" s="17">
        <v>211.9149999999936</v>
      </c>
      <c r="G38" s="17">
        <v>264.64750814311265</v>
      </c>
      <c r="H38" s="17">
        <v>272.12791267733337</v>
      </c>
      <c r="I38" s="16">
        <v>51</v>
      </c>
    </row>
    <row r="39" spans="1:9" ht="15" x14ac:dyDescent="0.25">
      <c r="A39" s="16">
        <v>52</v>
      </c>
      <c r="B39" s="17">
        <v>96526.964999999982</v>
      </c>
      <c r="C39" s="17">
        <v>96597.074999999997</v>
      </c>
      <c r="D39" s="17">
        <v>96605.021491856882</v>
      </c>
      <c r="E39" s="18"/>
      <c r="F39" s="17">
        <v>234.85000000000582</v>
      </c>
      <c r="G39" s="17">
        <v>296.5525358854502</v>
      </c>
      <c r="H39" s="17">
        <v>304.49902774233124</v>
      </c>
      <c r="I39" s="16">
        <v>52</v>
      </c>
    </row>
    <row r="40" spans="1:9" ht="15" x14ac:dyDescent="0.25">
      <c r="A40" s="16">
        <v>53</v>
      </c>
      <c r="B40" s="17">
        <v>96211.005999999994</v>
      </c>
      <c r="C40" s="17">
        <v>96292.114999999976</v>
      </c>
      <c r="D40" s="17">
        <v>96300.522464114547</v>
      </c>
      <c r="E40" s="18"/>
      <c r="F40" s="17">
        <v>260.4429999999993</v>
      </c>
      <c r="G40" s="17">
        <v>332.40008488592866</v>
      </c>
      <c r="H40" s="17">
        <v>340.80754900049214</v>
      </c>
      <c r="I40" s="16">
        <v>53</v>
      </c>
    </row>
    <row r="41" spans="1:9" ht="15" x14ac:dyDescent="0.25">
      <c r="A41" s="16">
        <v>54</v>
      </c>
      <c r="B41" s="17">
        <v>95856.915999999997</v>
      </c>
      <c r="C41" s="17">
        <v>95950.562999999995</v>
      </c>
      <c r="D41" s="17">
        <v>95959.714915114047</v>
      </c>
      <c r="E41" s="18"/>
      <c r="F41" s="17">
        <v>288.91300000000047</v>
      </c>
      <c r="G41" s="17">
        <v>372.38391138844599</v>
      </c>
      <c r="H41" s="17">
        <v>381.53582650249513</v>
      </c>
      <c r="I41" s="16">
        <v>54</v>
      </c>
    </row>
    <row r="42" spans="1:9" ht="15" x14ac:dyDescent="0.25">
      <c r="A42" s="16">
        <v>55</v>
      </c>
      <c r="B42" s="17">
        <v>95459.928999999975</v>
      </c>
      <c r="C42" s="17">
        <v>95568.002999999997</v>
      </c>
      <c r="D42" s="17">
        <v>95578.179088611549</v>
      </c>
      <c r="E42" s="18"/>
      <c r="F42" s="17">
        <v>320.55399999998917</v>
      </c>
      <c r="G42" s="17">
        <v>416.96279373545258</v>
      </c>
      <c r="H42" s="17">
        <v>427.13888234700784</v>
      </c>
      <c r="I42" s="16">
        <v>55</v>
      </c>
    </row>
    <row r="43" spans="1:9" ht="15" x14ac:dyDescent="0.25">
      <c r="A43" s="16">
        <v>56</v>
      </c>
      <c r="B43" s="17">
        <v>95014.838999999978</v>
      </c>
      <c r="C43" s="17">
        <v>95139.374999999985</v>
      </c>
      <c r="D43" s="17">
        <v>95151.040206264544</v>
      </c>
      <c r="E43" s="18"/>
      <c r="F43" s="17">
        <v>355.54599999998754</v>
      </c>
      <c r="G43" s="17">
        <v>466.46877077191311</v>
      </c>
      <c r="H43" s="17">
        <v>478.13397703646837</v>
      </c>
      <c r="I43" s="16">
        <v>56</v>
      </c>
    </row>
    <row r="44" spans="1:9" ht="15" x14ac:dyDescent="0.25">
      <c r="A44" s="16">
        <v>57</v>
      </c>
      <c r="B44" s="17">
        <v>94515.938000000009</v>
      </c>
      <c r="C44" s="17">
        <v>94659.292999999991</v>
      </c>
      <c r="D44" s="17">
        <v>94672.906229228072</v>
      </c>
      <c r="E44" s="18"/>
      <c r="F44" s="17">
        <v>394.22600000000966</v>
      </c>
      <c r="G44" s="17">
        <v>521.28869096704875</v>
      </c>
      <c r="H44" s="17">
        <v>534.90192019513404</v>
      </c>
      <c r="I44" s="16">
        <v>57</v>
      </c>
    </row>
    <row r="45" spans="1:9" ht="15" x14ac:dyDescent="0.25">
      <c r="A45" s="16">
        <v>58</v>
      </c>
      <c r="B45" s="17">
        <v>93956.97099999999</v>
      </c>
      <c r="C45" s="17">
        <v>94121.712</v>
      </c>
      <c r="D45" s="17">
        <v>94138.004309032942</v>
      </c>
      <c r="E45" s="18"/>
      <c r="F45" s="17">
        <v>436.80599999999686</v>
      </c>
      <c r="G45" s="17">
        <v>581.67229433804459</v>
      </c>
      <c r="H45" s="17">
        <v>597.96460337098324</v>
      </c>
      <c r="I45" s="16">
        <v>58</v>
      </c>
    </row>
    <row r="46" spans="1:9" ht="15" x14ac:dyDescent="0.25">
      <c r="A46" s="16">
        <v>59</v>
      </c>
      <c r="B46" s="17">
        <v>93331.284</v>
      </c>
      <c r="C46" s="17">
        <v>93520.164999999994</v>
      </c>
      <c r="D46" s="17">
        <v>93540.039705661955</v>
      </c>
      <c r="E46" s="18"/>
      <c r="F46" s="17">
        <v>483.64299999999639</v>
      </c>
      <c r="G46" s="17">
        <v>648.00117783647147</v>
      </c>
      <c r="H46" s="17">
        <v>667.87588349843634</v>
      </c>
      <c r="I46" s="16">
        <v>59</v>
      </c>
    </row>
    <row r="47" spans="1:9" ht="15" x14ac:dyDescent="0.25">
      <c r="A47" s="16">
        <v>60</v>
      </c>
      <c r="B47" s="17">
        <v>92631.421999999991</v>
      </c>
      <c r="C47" s="17">
        <v>92847.641000000003</v>
      </c>
      <c r="D47" s="17">
        <v>92872.163822163522</v>
      </c>
      <c r="E47" s="18"/>
      <c r="F47" s="17">
        <v>534.85399999999208</v>
      </c>
      <c r="G47" s="17">
        <v>720.49767601788335</v>
      </c>
      <c r="H47" s="17">
        <v>745.02049818140222</v>
      </c>
      <c r="I47" s="16">
        <v>60</v>
      </c>
    </row>
    <row r="48" spans="1:9" ht="15" x14ac:dyDescent="0.25">
      <c r="A48" s="16">
        <v>61</v>
      </c>
      <c r="B48" s="17">
        <v>91849.686999999976</v>
      </c>
      <c r="C48" s="17">
        <v>92096.567999999999</v>
      </c>
      <c r="D48" s="17">
        <v>92127.14332398212</v>
      </c>
      <c r="E48" s="18"/>
      <c r="F48" s="17">
        <v>590.8689999999915</v>
      </c>
      <c r="G48" s="17">
        <v>799.39811022364302</v>
      </c>
      <c r="H48" s="17">
        <v>829.97343420576715</v>
      </c>
      <c r="I48" s="16">
        <v>61</v>
      </c>
    </row>
    <row r="49" spans="1:9" ht="15" x14ac:dyDescent="0.25">
      <c r="A49" s="16">
        <v>62</v>
      </c>
      <c r="B49" s="17">
        <v>90977.404999999999</v>
      </c>
      <c r="C49" s="17">
        <v>91258.817999999985</v>
      </c>
      <c r="D49" s="17">
        <v>91297.169889776356</v>
      </c>
      <c r="E49" s="18"/>
      <c r="F49" s="17">
        <v>651.76299999999173</v>
      </c>
      <c r="G49" s="17">
        <v>884.84509214904392</v>
      </c>
      <c r="H49" s="17">
        <v>923.19698192541182</v>
      </c>
      <c r="I49" s="16">
        <v>62</v>
      </c>
    </row>
    <row r="50" spans="1:9" ht="15" x14ac:dyDescent="0.25">
      <c r="A50" s="16">
        <v>63</v>
      </c>
      <c r="B50" s="17">
        <v>90005.883999999991</v>
      </c>
      <c r="C50" s="17">
        <v>90325.642000000007</v>
      </c>
      <c r="D50" s="17">
        <v>90373.972907850941</v>
      </c>
      <c r="E50" s="18"/>
      <c r="F50" s="17">
        <v>717.70700000000943</v>
      </c>
      <c r="G50" s="17">
        <v>976.87144081572478</v>
      </c>
      <c r="H50" s="17">
        <v>1025.2023486666619</v>
      </c>
      <c r="I50" s="16">
        <v>63</v>
      </c>
    </row>
    <row r="51" spans="1:9" ht="15" x14ac:dyDescent="0.25">
      <c r="A51" s="16">
        <v>64</v>
      </c>
      <c r="B51" s="17">
        <v>88925.740999999995</v>
      </c>
      <c r="C51" s="17">
        <v>89288.176999999981</v>
      </c>
      <c r="D51" s="17">
        <v>89348.770559184282</v>
      </c>
      <c r="E51" s="18"/>
      <c r="F51" s="17">
        <v>788.86000000000058</v>
      </c>
      <c r="G51" s="17">
        <v>1075.5654072462785</v>
      </c>
      <c r="H51" s="17">
        <v>1136.1589664305757</v>
      </c>
      <c r="I51" s="16">
        <v>64</v>
      </c>
    </row>
    <row r="52" spans="1:9" ht="15" x14ac:dyDescent="0.25">
      <c r="A52" s="16">
        <v>65</v>
      </c>
      <c r="B52" s="17">
        <v>87727.358999999997</v>
      </c>
      <c r="C52" s="17">
        <v>88136.880999999994</v>
      </c>
      <c r="D52" s="17">
        <v>88212.611592753703</v>
      </c>
      <c r="E52" s="18"/>
      <c r="F52" s="17">
        <v>865.34299999999348</v>
      </c>
      <c r="G52" s="17">
        <v>1180.6816341618833</v>
      </c>
      <c r="H52" s="17">
        <v>1256.4122269155994</v>
      </c>
      <c r="I52" s="16">
        <v>65</v>
      </c>
    </row>
    <row r="53" spans="1:9" ht="15" x14ac:dyDescent="0.25">
      <c r="A53" s="16">
        <v>66</v>
      </c>
      <c r="B53" s="17">
        <v>86400.481000000014</v>
      </c>
      <c r="C53" s="17">
        <v>86862.016000000003</v>
      </c>
      <c r="D53" s="17">
        <v>86956.199365838111</v>
      </c>
      <c r="E53" s="18"/>
      <c r="F53" s="17">
        <v>946.9490000000078</v>
      </c>
      <c r="G53" s="17">
        <v>1291.8984520533559</v>
      </c>
      <c r="H53" s="17">
        <v>1386.0818178914633</v>
      </c>
      <c r="I53" s="16">
        <v>66</v>
      </c>
    </row>
    <row r="54" spans="1:9" ht="15" x14ac:dyDescent="0.25">
      <c r="A54" s="16">
        <v>67</v>
      </c>
      <c r="B54" s="17">
        <v>84935.187000000005</v>
      </c>
      <c r="C54" s="17">
        <v>85453.532000000007</v>
      </c>
      <c r="D54" s="17">
        <v>85570.117547946647</v>
      </c>
      <c r="E54" s="18"/>
      <c r="F54" s="17">
        <v>1033.5760000000155</v>
      </c>
      <c r="G54" s="17">
        <v>1408.6162272279471</v>
      </c>
      <c r="H54" s="17">
        <v>1525.2017751745916</v>
      </c>
      <c r="I54" s="16">
        <v>67</v>
      </c>
    </row>
    <row r="55" spans="1:9" ht="15" x14ac:dyDescent="0.25">
      <c r="A55" s="16">
        <v>68</v>
      </c>
      <c r="B55" s="17">
        <v>83321.395999999993</v>
      </c>
      <c r="C55" s="17">
        <v>83901.61099999999</v>
      </c>
      <c r="D55" s="17">
        <v>84044.915772772059</v>
      </c>
      <c r="E55" s="18"/>
      <c r="F55" s="17">
        <v>1125.0060000000085</v>
      </c>
      <c r="G55" s="17">
        <v>1530.2816350111389</v>
      </c>
      <c r="H55" s="17">
        <v>1673.5864077832048</v>
      </c>
      <c r="I55" s="16">
        <v>68</v>
      </c>
    </row>
    <row r="56" spans="1:9" ht="15" x14ac:dyDescent="0.25">
      <c r="A56" s="16">
        <v>69</v>
      </c>
      <c r="B56" s="17">
        <v>81549.317999999985</v>
      </c>
      <c r="C56" s="17">
        <v>82196.389999999985</v>
      </c>
      <c r="D56" s="17">
        <v>82371.329364988851</v>
      </c>
      <c r="E56" s="18"/>
      <c r="F56" s="17">
        <v>1220.7119999999995</v>
      </c>
      <c r="G56" s="17">
        <v>1655.8458014773787</v>
      </c>
      <c r="H56" s="17">
        <v>1830.7851664662394</v>
      </c>
      <c r="I56" s="16">
        <v>69</v>
      </c>
    </row>
    <row r="57" spans="1:9" ht="15" x14ac:dyDescent="0.25">
      <c r="A57" s="16">
        <v>70</v>
      </c>
      <c r="B57" s="17">
        <v>79609.775999999983</v>
      </c>
      <c r="C57" s="17">
        <v>80328.605999999985</v>
      </c>
      <c r="D57" s="17">
        <v>80540.544198522606</v>
      </c>
      <c r="E57" s="18"/>
      <c r="F57" s="17">
        <v>1320.0899999999965</v>
      </c>
      <c r="G57" s="17">
        <v>1784.098108349368</v>
      </c>
      <c r="H57" s="17">
        <v>1996.0363068719835</v>
      </c>
      <c r="I57" s="16">
        <v>70</v>
      </c>
    </row>
    <row r="58" spans="1:9" ht="15" x14ac:dyDescent="0.25">
      <c r="A58" s="16">
        <v>71</v>
      </c>
      <c r="B58" s="17">
        <v>77494.658999999985</v>
      </c>
      <c r="C58" s="17">
        <v>78289.685999999987</v>
      </c>
      <c r="D58" s="17">
        <v>78544.507891650617</v>
      </c>
      <c r="E58" s="18"/>
      <c r="F58" s="17">
        <v>1422.2590000000055</v>
      </c>
      <c r="G58" s="17">
        <v>1913.4777932062862</v>
      </c>
      <c r="H58" s="17">
        <v>2168.2996848569105</v>
      </c>
      <c r="I58" s="16">
        <v>71</v>
      </c>
    </row>
    <row r="59" spans="1:9" ht="15" x14ac:dyDescent="0.25">
      <c r="A59" s="16">
        <v>72</v>
      </c>
      <c r="B59" s="17">
        <v>75197.026999999973</v>
      </c>
      <c r="C59" s="17">
        <v>76072.39999999998</v>
      </c>
      <c r="D59" s="17">
        <v>76376.208206793701</v>
      </c>
      <c r="E59" s="18"/>
      <c r="F59" s="17">
        <v>1526.1989999999932</v>
      </c>
      <c r="G59" s="17">
        <v>2042.3161569025688</v>
      </c>
      <c r="H59" s="17">
        <v>2346.1243636962895</v>
      </c>
      <c r="I59" s="16">
        <v>72</v>
      </c>
    </row>
    <row r="60" spans="1:9" ht="15" x14ac:dyDescent="0.25">
      <c r="A60" s="16">
        <v>73</v>
      </c>
      <c r="B60" s="17">
        <v>72711.460999999981</v>
      </c>
      <c r="C60" s="17">
        <v>73670.82799999998</v>
      </c>
      <c r="D60" s="17">
        <v>74030.083843097411</v>
      </c>
      <c r="E60" s="18"/>
      <c r="F60" s="17">
        <v>1630.4089999999997</v>
      </c>
      <c r="G60" s="17">
        <v>2168.42733964129</v>
      </c>
      <c r="H60" s="17">
        <v>2527.6831827387191</v>
      </c>
      <c r="I60" s="16">
        <v>73</v>
      </c>
    </row>
    <row r="61" spans="1:9" ht="15" x14ac:dyDescent="0.25">
      <c r="A61" s="16">
        <v>74</v>
      </c>
      <c r="B61" s="17">
        <v>70035.216</v>
      </c>
      <c r="C61" s="17">
        <v>71081.051999999981</v>
      </c>
      <c r="D61" s="17">
        <v>71502.400660358689</v>
      </c>
      <c r="E61" s="18"/>
      <c r="F61" s="17">
        <v>1733.372000000003</v>
      </c>
      <c r="G61" s="17">
        <v>2289.3788510761515</v>
      </c>
      <c r="H61" s="17">
        <v>2710.7275114348608</v>
      </c>
      <c r="I61" s="16">
        <v>74</v>
      </c>
    </row>
    <row r="62" spans="1:9" ht="15" x14ac:dyDescent="0.25">
      <c r="A62" s="16">
        <v>75</v>
      </c>
      <c r="B62" s="17">
        <v>67168.230999999985</v>
      </c>
      <c r="C62" s="17">
        <v>68301.843999999997</v>
      </c>
      <c r="D62" s="17">
        <v>68791.67314892383</v>
      </c>
      <c r="E62" s="18"/>
      <c r="F62" s="17">
        <v>1833.2230000000054</v>
      </c>
      <c r="G62" s="17">
        <v>2402.5855402958114</v>
      </c>
      <c r="H62" s="17">
        <v>2892.4146892196491</v>
      </c>
      <c r="I62" s="16">
        <v>75</v>
      </c>
    </row>
    <row r="63" spans="1:9" ht="15" x14ac:dyDescent="0.25">
      <c r="A63" s="16">
        <v>76</v>
      </c>
      <c r="B63" s="17">
        <v>64113.458999999988</v>
      </c>
      <c r="C63" s="17">
        <v>65335.00799999998</v>
      </c>
      <c r="D63" s="17">
        <v>65899.258459704186</v>
      </c>
      <c r="E63" s="18"/>
      <c r="F63" s="17">
        <v>1927.7000000000044</v>
      </c>
      <c r="G63" s="17">
        <v>2505.2052008319006</v>
      </c>
      <c r="H63" s="17">
        <v>3069.4556605361045</v>
      </c>
      <c r="I63" s="16">
        <v>76</v>
      </c>
    </row>
    <row r="64" spans="1:9" ht="15" x14ac:dyDescent="0.25">
      <c r="A64" s="16">
        <v>77</v>
      </c>
      <c r="B64" s="17">
        <v>60878.083999999988</v>
      </c>
      <c r="C64" s="17">
        <v>62185.758999999984</v>
      </c>
      <c r="D64" s="17">
        <v>62829.802799168079</v>
      </c>
      <c r="E64" s="18"/>
      <c r="F64" s="17">
        <v>2014.4560000000056</v>
      </c>
      <c r="G64" s="17">
        <v>2594.0785774954275</v>
      </c>
      <c r="H64" s="17">
        <v>3238.1223766635221</v>
      </c>
      <c r="I64" s="16">
        <v>77</v>
      </c>
    </row>
    <row r="65" spans="1:9" ht="15" x14ac:dyDescent="0.25">
      <c r="A65" s="16">
        <v>78</v>
      </c>
      <c r="B65" s="17">
        <v>57473.623999999989</v>
      </c>
      <c r="C65" s="17">
        <v>58863.627999999982</v>
      </c>
      <c r="D65" s="17">
        <v>59591.680422504556</v>
      </c>
      <c r="E65" s="18"/>
      <c r="F65" s="17">
        <v>2090.833000000006</v>
      </c>
      <c r="G65" s="17">
        <v>2666.0513276395941</v>
      </c>
      <c r="H65" s="17">
        <v>3394.103750144167</v>
      </c>
      <c r="I65" s="16">
        <v>78</v>
      </c>
    </row>
    <row r="66" spans="1:9" ht="15" x14ac:dyDescent="0.25">
      <c r="A66" s="16">
        <v>79</v>
      </c>
      <c r="B66" s="17">
        <v>53916.399999999987</v>
      </c>
      <c r="C66" s="17">
        <v>55382.790999999983</v>
      </c>
      <c r="D66" s="17">
        <v>56197.576672360388</v>
      </c>
      <c r="E66" s="18"/>
      <c r="F66" s="17">
        <v>2154.1760000000068</v>
      </c>
      <c r="G66" s="17">
        <v>2718.1873803008784</v>
      </c>
      <c r="H66" s="17">
        <v>3532.9730526612807</v>
      </c>
      <c r="I66" s="16">
        <v>79</v>
      </c>
    </row>
    <row r="67" spans="1:9" ht="15" x14ac:dyDescent="0.25">
      <c r="A67" s="16">
        <v>80</v>
      </c>
      <c r="B67" s="17">
        <v>50227.930999999975</v>
      </c>
      <c r="C67" s="17">
        <v>51762.22399999998</v>
      </c>
      <c r="D67" s="17">
        <v>52664.603619699104</v>
      </c>
      <c r="E67" s="18"/>
      <c r="F67" s="17">
        <v>2201.640999999996</v>
      </c>
      <c r="G67" s="17">
        <v>2747.4354049568865</v>
      </c>
      <c r="H67" s="17">
        <v>3649.8150246560081</v>
      </c>
      <c r="I67" s="16">
        <v>80</v>
      </c>
    </row>
    <row r="68" spans="1:9" ht="15" x14ac:dyDescent="0.25">
      <c r="A68" s="16">
        <v>81</v>
      </c>
      <c r="B68" s="17">
        <v>46435.128999999979</v>
      </c>
      <c r="C68" s="17">
        <v>48026.289999999979</v>
      </c>
      <c r="D68" s="17">
        <v>49014.788595043094</v>
      </c>
      <c r="E68" s="18"/>
      <c r="F68" s="17">
        <v>2230.6039999999921</v>
      </c>
      <c r="G68" s="17">
        <v>2751.3297747586766</v>
      </c>
      <c r="H68" s="17">
        <v>3739.8283698017885</v>
      </c>
      <c r="I68" s="16">
        <v>81</v>
      </c>
    </row>
    <row r="69" spans="1:9" ht="15" x14ac:dyDescent="0.25">
      <c r="A69" s="16">
        <v>82</v>
      </c>
      <c r="B69" s="17">
        <v>42570.055999999982</v>
      </c>
      <c r="C69" s="17">
        <v>44204.524999999987</v>
      </c>
      <c r="D69" s="17">
        <v>45274.960225241302</v>
      </c>
      <c r="E69" s="18"/>
      <c r="F69" s="17">
        <v>2238.5890000000072</v>
      </c>
      <c r="G69" s="17">
        <v>2727.8170129348582</v>
      </c>
      <c r="H69" s="17">
        <v>3798.2522381761723</v>
      </c>
      <c r="I69" s="16">
        <v>82</v>
      </c>
    </row>
    <row r="70" spans="1:9" ht="15" x14ac:dyDescent="0.25">
      <c r="A70" s="16">
        <v>83</v>
      </c>
      <c r="B70" s="17">
        <v>38669.883999999984</v>
      </c>
      <c r="C70" s="17">
        <v>40331.466999999975</v>
      </c>
      <c r="D70" s="17">
        <v>41476.707987065129</v>
      </c>
      <c r="E70" s="18"/>
      <c r="F70" s="17">
        <v>2223.5570000000007</v>
      </c>
      <c r="G70" s="17">
        <v>2675.4689225793263</v>
      </c>
      <c r="H70" s="17">
        <v>3820.7099096444776</v>
      </c>
      <c r="I70" s="16">
        <v>83</v>
      </c>
    </row>
    <row r="71" spans="1:9" ht="15" x14ac:dyDescent="0.25">
      <c r="A71" s="16">
        <v>84</v>
      </c>
      <c r="B71" s="17">
        <v>34775.928999999975</v>
      </c>
      <c r="C71" s="17">
        <v>36446.326999999983</v>
      </c>
      <c r="D71" s="17">
        <v>37655.998077420649</v>
      </c>
      <c r="E71" s="18"/>
      <c r="F71" s="17">
        <v>2184.0669999999955</v>
      </c>
      <c r="G71" s="17">
        <v>2593.8483203853611</v>
      </c>
      <c r="H71" s="17">
        <v>3803.5193978060242</v>
      </c>
      <c r="I71" s="16">
        <v>84</v>
      </c>
    </row>
    <row r="72" spans="1:9" ht="15" x14ac:dyDescent="0.25">
      <c r="A72" s="16">
        <v>85</v>
      </c>
      <c r="B72" s="17">
        <v>30932.862999999983</v>
      </c>
      <c r="C72" s="17">
        <v>32591.861999999979</v>
      </c>
      <c r="D72" s="17">
        <v>33852.478679614622</v>
      </c>
      <c r="E72" s="18"/>
      <c r="F72" s="17">
        <v>2119.3960000000006</v>
      </c>
      <c r="G72" s="17">
        <v>2483.4674623507381</v>
      </c>
      <c r="H72" s="17">
        <v>3744.0841419653793</v>
      </c>
      <c r="I72" s="16">
        <v>85</v>
      </c>
    </row>
    <row r="73" spans="1:9" ht="15" x14ac:dyDescent="0.25">
      <c r="A73" s="16">
        <v>86</v>
      </c>
      <c r="B73" s="17">
        <v>27187.127999999982</v>
      </c>
      <c r="C73" s="17">
        <v>28813.466999999982</v>
      </c>
      <c r="D73" s="17">
        <v>30108.394537649241</v>
      </c>
      <c r="E73" s="18"/>
      <c r="F73" s="17">
        <v>2029.8179999999957</v>
      </c>
      <c r="G73" s="17">
        <v>2346.050505394127</v>
      </c>
      <c r="H73" s="17">
        <v>3640.9780430433852</v>
      </c>
      <c r="I73" s="16">
        <v>86</v>
      </c>
    </row>
    <row r="74" spans="1:9" ht="15" x14ac:dyDescent="0.25">
      <c r="A74" s="16">
        <v>87</v>
      </c>
      <c r="B74" s="17">
        <v>23585.298999999985</v>
      </c>
      <c r="C74" s="17">
        <v>25157.309999999987</v>
      </c>
      <c r="D74" s="17">
        <v>26467.416494605855</v>
      </c>
      <c r="E74" s="18"/>
      <c r="F74" s="17">
        <v>1916.4939999999951</v>
      </c>
      <c r="G74" s="17">
        <v>2184.3335703439552</v>
      </c>
      <c r="H74" s="17">
        <v>3494.4400649498243</v>
      </c>
      <c r="I74" s="16">
        <v>87</v>
      </c>
    </row>
    <row r="75" spans="1:9" ht="15" x14ac:dyDescent="0.25">
      <c r="A75" s="16">
        <v>88</v>
      </c>
      <c r="B75" s="17">
        <v>20172.297999999984</v>
      </c>
      <c r="C75" s="17">
        <v>21668.804999999989</v>
      </c>
      <c r="D75" s="17">
        <v>22972.976429656032</v>
      </c>
      <c r="E75" s="18"/>
      <c r="F75" s="17">
        <v>1781.8399999999965</v>
      </c>
      <c r="G75" s="17">
        <v>2002.3060948879211</v>
      </c>
      <c r="H75" s="17">
        <v>3306.4775245439619</v>
      </c>
      <c r="I75" s="16">
        <v>88</v>
      </c>
    </row>
    <row r="76" spans="1:9" ht="15" x14ac:dyDescent="0.25">
      <c r="A76" s="16">
        <v>89</v>
      </c>
      <c r="B76" s="17">
        <v>16989.088999999985</v>
      </c>
      <c r="C76" s="17">
        <v>18390.457999999988</v>
      </c>
      <c r="D76" s="17">
        <v>19666.498905112068</v>
      </c>
      <c r="E76" s="18"/>
      <c r="F76" s="17">
        <v>1629.2879999999986</v>
      </c>
      <c r="G76" s="17">
        <v>1804.9128133627783</v>
      </c>
      <c r="H76" s="17">
        <v>3080.9537184748569</v>
      </c>
      <c r="I76" s="16">
        <v>89</v>
      </c>
    </row>
    <row r="77" spans="1:9" ht="15" x14ac:dyDescent="0.25">
      <c r="A77" s="16">
        <v>90</v>
      </c>
      <c r="B77" s="17">
        <v>14070.549999999988</v>
      </c>
      <c r="C77" s="17">
        <v>15359.800999999987</v>
      </c>
      <c r="D77" s="17">
        <v>16585.54518663721</v>
      </c>
      <c r="E77" s="18"/>
      <c r="F77" s="17">
        <v>1463.1959999999981</v>
      </c>
      <c r="G77" s="17">
        <v>1597.8951247522018</v>
      </c>
      <c r="H77" s="17">
        <v>2823.6393113894246</v>
      </c>
      <c r="I77" s="16">
        <v>90</v>
      </c>
    </row>
    <row r="78" spans="1:9" ht="15" x14ac:dyDescent="0.25">
      <c r="A78" s="16">
        <v>91</v>
      </c>
      <c r="B78" s="17"/>
      <c r="C78" s="17">
        <v>12607.35399999999</v>
      </c>
      <c r="D78" s="17">
        <v>13761.905875247785</v>
      </c>
      <c r="E78" s="18"/>
      <c r="F78" s="17"/>
      <c r="G78" s="17">
        <v>1387.4648065927231</v>
      </c>
      <c r="H78" s="17">
        <v>2542.0166818405187</v>
      </c>
      <c r="I78" s="16">
        <v>91</v>
      </c>
    </row>
    <row r="79" spans="1:9" ht="15" x14ac:dyDescent="0.25">
      <c r="A79" s="16">
        <v>92</v>
      </c>
      <c r="B79" s="17"/>
      <c r="C79" s="17"/>
      <c r="D79" s="17">
        <v>11219.889193407267</v>
      </c>
      <c r="E79" s="18"/>
      <c r="F79" s="17"/>
      <c r="G79" s="17"/>
      <c r="H79" s="17">
        <v>2244.8642099277326</v>
      </c>
      <c r="I79" s="16">
        <v>92</v>
      </c>
    </row>
    <row r="80" spans="1:9" ht="15" x14ac:dyDescent="0.25">
      <c r="A80" s="16">
        <v>93</v>
      </c>
      <c r="B80" s="17"/>
      <c r="C80" s="17"/>
      <c r="D80" s="17">
        <v>8975.0249834795341</v>
      </c>
      <c r="E80" s="18"/>
      <c r="F80" s="17"/>
      <c r="G80" s="17"/>
      <c r="H80" s="17">
        <v>1941.7825552757311</v>
      </c>
      <c r="I80" s="16">
        <v>93</v>
      </c>
    </row>
    <row r="81" spans="1:9" ht="15" x14ac:dyDescent="0.25">
      <c r="A81" s="16">
        <v>94</v>
      </c>
      <c r="B81" s="17"/>
      <c r="C81" s="17"/>
      <c r="D81" s="17">
        <v>7033.2424282038028</v>
      </c>
      <c r="E81" s="18"/>
      <c r="F81" s="17"/>
      <c r="G81" s="17"/>
      <c r="H81" s="17">
        <v>1642.5997026221419</v>
      </c>
      <c r="I81" s="16">
        <v>94</v>
      </c>
    </row>
    <row r="82" spans="1:9" ht="15" x14ac:dyDescent="0.25">
      <c r="A82" s="16">
        <v>95</v>
      </c>
      <c r="B82" s="17"/>
      <c r="C82" s="17"/>
      <c r="D82" s="17">
        <v>5390.6427255816607</v>
      </c>
      <c r="E82" s="18"/>
      <c r="F82" s="17"/>
      <c r="G82" s="17"/>
      <c r="H82" s="17">
        <v>1356.6199296053321</v>
      </c>
      <c r="I82" s="16">
        <v>95</v>
      </c>
    </row>
    <row r="83" spans="1:9" ht="15" x14ac:dyDescent="0.25">
      <c r="A83" s="16">
        <v>96</v>
      </c>
      <c r="B83" s="17"/>
      <c r="C83" s="17"/>
      <c r="D83" s="17">
        <v>4034.0227959763288</v>
      </c>
      <c r="E83" s="18"/>
      <c r="F83" s="17"/>
      <c r="G83" s="17"/>
      <c r="H83" s="17">
        <v>1091.9615625972406</v>
      </c>
      <c r="I83" s="16">
        <v>96</v>
      </c>
    </row>
    <row r="84" spans="1:9" ht="15" x14ac:dyDescent="0.25">
      <c r="A84" s="16">
        <v>97</v>
      </c>
      <c r="B84" s="17"/>
      <c r="C84" s="17"/>
      <c r="D84" s="17">
        <v>2942.0612333790882</v>
      </c>
      <c r="E84" s="18"/>
      <c r="F84" s="17"/>
      <c r="G84" s="17"/>
      <c r="H84" s="17">
        <v>855.00124121599686</v>
      </c>
      <c r="I84" s="16">
        <v>97</v>
      </c>
    </row>
    <row r="85" spans="1:9" ht="15" x14ac:dyDescent="0.25">
      <c r="A85" s="16">
        <v>98</v>
      </c>
      <c r="B85" s="17"/>
      <c r="C85" s="17"/>
      <c r="D85" s="17">
        <v>2087.0599921630915</v>
      </c>
      <c r="E85" s="18"/>
      <c r="F85" s="17"/>
      <c r="G85" s="17"/>
      <c r="H85" s="17">
        <v>649.93970039947715</v>
      </c>
      <c r="I85" s="16">
        <v>98</v>
      </c>
    </row>
    <row r="86" spans="1:9" ht="15" x14ac:dyDescent="0.25">
      <c r="A86" s="16">
        <v>99</v>
      </c>
      <c r="B86" s="17"/>
      <c r="C86" s="17"/>
      <c r="D86" s="17">
        <v>1437.1202917636142</v>
      </c>
      <c r="E86" s="18"/>
      <c r="F86" s="17"/>
      <c r="G86" s="17"/>
      <c r="H86" s="17">
        <v>478.64441013420594</v>
      </c>
      <c r="I86" s="16">
        <v>99</v>
      </c>
    </row>
    <row r="87" spans="1:9" ht="15" x14ac:dyDescent="0.25">
      <c r="A87" s="16">
        <v>100</v>
      </c>
      <c r="B87" s="17"/>
      <c r="C87" s="17"/>
      <c r="D87" s="17">
        <v>958.47588162940826</v>
      </c>
      <c r="E87" s="18"/>
      <c r="F87" s="17"/>
      <c r="G87" s="17"/>
      <c r="H87" s="17">
        <v>340.74296829866273</v>
      </c>
      <c r="I87" s="16">
        <v>100</v>
      </c>
    </row>
    <row r="88" spans="1:9" ht="15" x14ac:dyDescent="0.25">
      <c r="A88" s="16">
        <v>101</v>
      </c>
      <c r="B88" s="17"/>
      <c r="C88" s="17"/>
      <c r="D88" s="17">
        <v>617.73291333074553</v>
      </c>
      <c r="E88" s="18"/>
      <c r="F88" s="17"/>
      <c r="G88" s="17"/>
      <c r="H88" s="17">
        <v>233.93668974418003</v>
      </c>
      <c r="I88" s="16">
        <v>101</v>
      </c>
    </row>
    <row r="89" spans="1:9" ht="15" x14ac:dyDescent="0.25">
      <c r="A89" s="16">
        <v>102</v>
      </c>
      <c r="B89" s="17"/>
      <c r="C89" s="17"/>
      <c r="D89" s="17">
        <v>383.79622358656547</v>
      </c>
      <c r="E89" s="18"/>
      <c r="F89" s="17"/>
      <c r="G89" s="17"/>
      <c r="H89" s="17">
        <v>154.51175406126819</v>
      </c>
      <c r="I89" s="16">
        <v>102</v>
      </c>
    </row>
    <row r="90" spans="1:9" ht="15" x14ac:dyDescent="0.25">
      <c r="A90" s="16">
        <v>103</v>
      </c>
      <c r="B90" s="17"/>
      <c r="C90" s="17"/>
      <c r="D90" s="17">
        <v>229.28446952529728</v>
      </c>
      <c r="E90" s="18"/>
      <c r="F90" s="17"/>
      <c r="G90" s="17"/>
      <c r="H90" s="17">
        <v>97.925104089559213</v>
      </c>
      <c r="I90" s="16">
        <v>103</v>
      </c>
    </row>
    <row r="91" spans="1:9" ht="15" x14ac:dyDescent="0.25">
      <c r="A91" s="16">
        <v>104</v>
      </c>
      <c r="B91" s="17"/>
      <c r="C91" s="17"/>
      <c r="D91" s="17">
        <v>131.35936543573808</v>
      </c>
      <c r="E91" s="18"/>
      <c r="F91" s="17"/>
      <c r="G91" s="17"/>
      <c r="H91" s="17">
        <v>59.391115816363943</v>
      </c>
      <c r="I91" s="16">
        <v>104</v>
      </c>
    </row>
    <row r="92" spans="1:9" ht="15" x14ac:dyDescent="0.25">
      <c r="A92" s="16">
        <v>105</v>
      </c>
      <c r="B92" s="17"/>
      <c r="C92" s="17"/>
      <c r="D92" s="17">
        <v>71.968249619374149</v>
      </c>
      <c r="E92" s="18"/>
      <c r="F92" s="17"/>
      <c r="G92" s="17"/>
      <c r="H92" s="17">
        <v>34.372611764210049</v>
      </c>
      <c r="I92" s="16">
        <v>105</v>
      </c>
    </row>
    <row r="93" spans="1:9" ht="15" x14ac:dyDescent="0.25">
      <c r="A93" s="16">
        <v>106</v>
      </c>
      <c r="B93" s="17"/>
      <c r="C93" s="17"/>
      <c r="D93" s="17">
        <v>37.5956378551641</v>
      </c>
      <c r="E93" s="18"/>
      <c r="F93" s="17"/>
      <c r="G93" s="17"/>
      <c r="H93" s="17">
        <v>18.926847156700973</v>
      </c>
      <c r="I93" s="16">
        <v>106</v>
      </c>
    </row>
    <row r="94" spans="1:9" ht="15" x14ac:dyDescent="0.25">
      <c r="A94" s="16">
        <v>107</v>
      </c>
      <c r="B94" s="17"/>
      <c r="C94" s="17"/>
      <c r="D94" s="17">
        <v>18.668790698463127</v>
      </c>
      <c r="E94" s="18"/>
      <c r="F94" s="17"/>
      <c r="G94" s="17"/>
      <c r="H94" s="17">
        <v>9.884993993301336</v>
      </c>
      <c r="I94" s="16">
        <v>107</v>
      </c>
    </row>
    <row r="95" spans="1:9" ht="15" x14ac:dyDescent="0.25">
      <c r="A95" s="16">
        <v>108</v>
      </c>
      <c r="B95" s="17"/>
      <c r="C95" s="17"/>
      <c r="D95" s="17">
        <v>8.7837967051617909</v>
      </c>
      <c r="E95" s="18"/>
      <c r="F95" s="17"/>
      <c r="G95" s="17"/>
      <c r="H95" s="17">
        <v>4.8809274503440729</v>
      </c>
      <c r="I95" s="16">
        <v>108</v>
      </c>
    </row>
    <row r="96" spans="1:9" ht="15" x14ac:dyDescent="0.25">
      <c r="A96" s="16">
        <v>109</v>
      </c>
      <c r="B96" s="17"/>
      <c r="C96" s="17"/>
      <c r="D96" s="17">
        <v>3.902869254817718</v>
      </c>
      <c r="E96" s="18"/>
      <c r="F96" s="17"/>
      <c r="G96" s="17"/>
      <c r="H96" s="17">
        <v>2.2709117960004725</v>
      </c>
      <c r="I96" s="16">
        <v>109</v>
      </c>
    </row>
    <row r="97" spans="1:9" ht="15" x14ac:dyDescent="0.25">
      <c r="A97" s="16">
        <v>110</v>
      </c>
      <c r="B97" s="17"/>
      <c r="C97" s="17"/>
      <c r="D97" s="17">
        <v>1.6319574588172454</v>
      </c>
      <c r="E97" s="18"/>
      <c r="F97" s="17"/>
      <c r="G97" s="17"/>
      <c r="H97" s="17">
        <v>0.99209631444926216</v>
      </c>
      <c r="I97" s="16">
        <v>110</v>
      </c>
    </row>
    <row r="98" spans="1:9" ht="15" x14ac:dyDescent="0.25">
      <c r="A98" s="16">
        <v>111</v>
      </c>
      <c r="B98" s="17"/>
      <c r="C98" s="17"/>
      <c r="D98" s="17">
        <v>0.63986114436798325</v>
      </c>
      <c r="E98" s="18"/>
      <c r="F98" s="17"/>
      <c r="G98" s="17"/>
      <c r="H98" s="17">
        <v>0.4054998428814664</v>
      </c>
      <c r="I98" s="16">
        <v>111</v>
      </c>
    </row>
    <row r="99" spans="1:9" ht="15" x14ac:dyDescent="0.25">
      <c r="A99" s="16">
        <v>112</v>
      </c>
      <c r="B99" s="17"/>
      <c r="C99" s="17"/>
      <c r="D99" s="17">
        <v>0.23436130148651685</v>
      </c>
      <c r="E99" s="18"/>
      <c r="F99" s="17"/>
      <c r="G99" s="17"/>
      <c r="H99" s="17">
        <v>0.15448417346216878</v>
      </c>
      <c r="I99" s="16">
        <v>112</v>
      </c>
    </row>
    <row r="100" spans="1:9" ht="15" x14ac:dyDescent="0.25">
      <c r="A100" s="16">
        <v>113</v>
      </c>
      <c r="B100" s="17"/>
      <c r="C100" s="17"/>
      <c r="D100" s="17">
        <v>7.9877128024348071E-2</v>
      </c>
      <c r="E100" s="18"/>
      <c r="F100" s="17"/>
      <c r="G100" s="17"/>
      <c r="H100" s="17">
        <v>5.4645061561248855E-2</v>
      </c>
      <c r="I100" s="16">
        <v>113</v>
      </c>
    </row>
    <row r="101" spans="1:9" ht="15" x14ac:dyDescent="0.25">
      <c r="A101" s="16">
        <v>114</v>
      </c>
      <c r="B101" s="17"/>
      <c r="C101" s="17"/>
      <c r="D101" s="17">
        <v>2.5232066463099216E-2</v>
      </c>
      <c r="E101" s="18"/>
      <c r="F101" s="17"/>
      <c r="G101" s="17"/>
      <c r="H101" s="17">
        <v>1.7875455629250935E-2</v>
      </c>
      <c r="I101" s="16">
        <v>114</v>
      </c>
    </row>
    <row r="102" spans="1:9" ht="15" x14ac:dyDescent="0.25">
      <c r="A102" s="16">
        <v>115</v>
      </c>
      <c r="B102" s="17"/>
      <c r="C102" s="17"/>
      <c r="D102" s="17">
        <v>7.3566108338482816E-3</v>
      </c>
      <c r="E102" s="18"/>
      <c r="F102" s="17"/>
      <c r="G102" s="17"/>
      <c r="H102" s="17">
        <v>5.3853481080319635E-3</v>
      </c>
      <c r="I102" s="16">
        <v>115</v>
      </c>
    </row>
    <row r="103" spans="1:9" ht="15" x14ac:dyDescent="0.25">
      <c r="A103" s="16">
        <v>116</v>
      </c>
      <c r="B103" s="17"/>
      <c r="C103" s="17"/>
      <c r="D103" s="17">
        <v>1.9712627258163182E-3</v>
      </c>
      <c r="E103" s="18"/>
      <c r="F103" s="17"/>
      <c r="G103" s="17"/>
      <c r="H103" s="17">
        <v>1.4879268468106892E-3</v>
      </c>
      <c r="I103" s="16">
        <v>116</v>
      </c>
    </row>
    <row r="104" spans="1:9" ht="15" x14ac:dyDescent="0.25">
      <c r="A104" s="16">
        <v>117</v>
      </c>
      <c r="B104" s="17"/>
      <c r="C104" s="17"/>
      <c r="D104" s="17">
        <v>4.8333587900562902E-4</v>
      </c>
      <c r="E104" s="18"/>
      <c r="F104" s="17"/>
      <c r="G104" s="17"/>
      <c r="H104" s="17">
        <v>3.7538184375796377E-4</v>
      </c>
      <c r="I104" s="16">
        <v>117</v>
      </c>
    </row>
    <row r="105" spans="1:9" ht="15" x14ac:dyDescent="0.25">
      <c r="A105" s="16">
        <v>118</v>
      </c>
      <c r="B105" s="17"/>
      <c r="C105" s="17"/>
      <c r="D105" s="17">
        <v>1.0795403524766525E-4</v>
      </c>
      <c r="E105" s="18"/>
      <c r="F105" s="17"/>
      <c r="G105" s="17"/>
      <c r="H105" s="17">
        <v>8.6090860167202342E-5</v>
      </c>
      <c r="I105" s="16">
        <v>118</v>
      </c>
    </row>
    <row r="106" spans="1:9" ht="15" x14ac:dyDescent="0.25">
      <c r="A106" s="16">
        <v>119</v>
      </c>
      <c r="B106" s="17"/>
      <c r="C106" s="17"/>
      <c r="D106" s="17">
        <v>2.1863175080462908E-5</v>
      </c>
      <c r="E106" s="18"/>
      <c r="F106" s="17"/>
      <c r="G106" s="17"/>
      <c r="H106" s="17">
        <v>1.7867133255131302E-5</v>
      </c>
      <c r="I106" s="16">
        <v>119</v>
      </c>
    </row>
    <row r="107" spans="1:9" ht="15" x14ac:dyDescent="0.25">
      <c r="A107" s="16">
        <v>120</v>
      </c>
      <c r="B107" s="17"/>
      <c r="C107" s="17"/>
      <c r="D107" s="17">
        <v>3.9960418253316066E-6</v>
      </c>
      <c r="E107" s="18"/>
      <c r="F107" s="17"/>
      <c r="G107" s="17"/>
      <c r="H107" s="17">
        <v>3.9960418253316066E-6</v>
      </c>
      <c r="I107" s="16">
        <v>120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opLeftCell="H4" zoomScale="85" zoomScaleNormal="85" workbookViewId="0">
      <selection activeCell="V1" sqref="V1"/>
    </sheetView>
  </sheetViews>
  <sheetFormatPr defaultColWidth="8.85546875" defaultRowHeight="12.75" x14ac:dyDescent="0.2"/>
  <cols>
    <col min="3" max="4" width="11.140625" bestFit="1" customWidth="1"/>
    <col min="5" max="5" width="8.85546875" bestFit="1" customWidth="1"/>
    <col min="6" max="6" width="14.28515625" bestFit="1" customWidth="1"/>
    <col min="7" max="7" width="13.7109375" bestFit="1" customWidth="1"/>
    <col min="8" max="9" width="8.85546875" bestFit="1" customWidth="1"/>
    <col min="10" max="10" width="10.140625" bestFit="1" customWidth="1"/>
    <col min="12" max="12" width="12.42578125" bestFit="1" customWidth="1"/>
    <col min="13" max="13" width="11" bestFit="1" customWidth="1"/>
    <col min="14" max="14" width="11.140625" customWidth="1"/>
    <col min="15" max="15" width="9.5703125" bestFit="1" customWidth="1"/>
    <col min="16" max="16" width="11.5703125" customWidth="1"/>
    <col min="26" max="26" width="11.28515625" bestFit="1" customWidth="1"/>
    <col min="27" max="27" width="18.42578125" bestFit="1" customWidth="1"/>
    <col min="28" max="28" width="13.28515625" bestFit="1" customWidth="1"/>
  </cols>
  <sheetData>
    <row r="1" spans="1:32" x14ac:dyDescent="0.2">
      <c r="AA1" t="s">
        <v>147</v>
      </c>
      <c r="AB1" s="1">
        <v>0.04</v>
      </c>
    </row>
    <row r="2" spans="1:32" x14ac:dyDescent="0.2">
      <c r="V2" s="6"/>
      <c r="AA2" t="s">
        <v>153</v>
      </c>
      <c r="AB2" s="22">
        <v>28606.708465444346</v>
      </c>
      <c r="AC2" t="s">
        <v>154</v>
      </c>
      <c r="AF2" s="45" t="s">
        <v>105</v>
      </c>
    </row>
    <row r="3" spans="1:32" x14ac:dyDescent="0.2">
      <c r="B3" s="45"/>
      <c r="C3" s="45" t="s">
        <v>87</v>
      </c>
      <c r="D3" s="45" t="s">
        <v>172</v>
      </c>
      <c r="E3" s="45" t="s">
        <v>87</v>
      </c>
      <c r="F3" s="45" t="s">
        <v>172</v>
      </c>
      <c r="G3" s="45" t="s">
        <v>87</v>
      </c>
      <c r="H3" s="45" t="s">
        <v>87</v>
      </c>
      <c r="I3" s="45" t="s">
        <v>87</v>
      </c>
      <c r="J3" s="45" t="s">
        <v>87</v>
      </c>
      <c r="L3" s="45" t="s">
        <v>87</v>
      </c>
      <c r="N3" s="45" t="s">
        <v>87</v>
      </c>
      <c r="O3" s="45" t="s">
        <v>87</v>
      </c>
      <c r="Q3" s="45" t="s">
        <v>87</v>
      </c>
      <c r="R3" s="45" t="s">
        <v>87</v>
      </c>
      <c r="S3" s="45" t="s">
        <v>87</v>
      </c>
      <c r="T3" s="45" t="s">
        <v>87</v>
      </c>
      <c r="U3" s="45" t="s">
        <v>87</v>
      </c>
      <c r="V3" s="45" t="s">
        <v>87</v>
      </c>
      <c r="W3" s="45" t="s">
        <v>87</v>
      </c>
      <c r="X3" s="45" t="s">
        <v>87</v>
      </c>
      <c r="AA3" t="s">
        <v>141</v>
      </c>
      <c r="AB3" s="22">
        <f>NPV($AB$1,S7:S27)*(1+$AB$1)</f>
        <v>397124.56721676508</v>
      </c>
      <c r="AC3" s="80" t="s">
        <v>148</v>
      </c>
      <c r="AF3" s="45" t="s">
        <v>87</v>
      </c>
    </row>
    <row r="4" spans="1:32" x14ac:dyDescent="0.2">
      <c r="B4" t="s">
        <v>131</v>
      </c>
      <c r="C4" t="s">
        <v>35</v>
      </c>
      <c r="D4" t="s">
        <v>35</v>
      </c>
      <c r="E4" t="s">
        <v>34</v>
      </c>
      <c r="F4" t="s">
        <v>34</v>
      </c>
      <c r="G4" t="s">
        <v>34</v>
      </c>
      <c r="H4" t="s">
        <v>35</v>
      </c>
      <c r="I4" t="s">
        <v>39</v>
      </c>
      <c r="J4" t="s">
        <v>34</v>
      </c>
      <c r="Q4" s="22"/>
      <c r="R4" s="22"/>
      <c r="S4" s="22"/>
      <c r="T4" s="22"/>
      <c r="U4" s="22"/>
      <c r="V4" s="22"/>
      <c r="W4" s="22"/>
      <c r="X4" s="22"/>
      <c r="AA4" t="s">
        <v>139</v>
      </c>
      <c r="AB4" s="22">
        <f>Q7</f>
        <v>850</v>
      </c>
      <c r="AF4" s="95" t="s">
        <v>82</v>
      </c>
    </row>
    <row r="5" spans="1:32" x14ac:dyDescent="0.2">
      <c r="C5" s="94" t="s">
        <v>136</v>
      </c>
      <c r="D5" s="94"/>
      <c r="E5" s="94"/>
      <c r="F5" s="94"/>
      <c r="G5" s="94"/>
      <c r="H5" s="94"/>
      <c r="I5" s="94"/>
      <c r="J5" s="94"/>
      <c r="L5" s="94" t="s">
        <v>137</v>
      </c>
      <c r="M5" s="94"/>
      <c r="N5" s="94"/>
      <c r="O5" s="94"/>
      <c r="Q5" s="94" t="s">
        <v>138</v>
      </c>
      <c r="R5" s="94"/>
      <c r="S5" s="94"/>
      <c r="T5" s="94"/>
      <c r="U5" s="94"/>
      <c r="V5" s="94"/>
      <c r="W5" s="94"/>
      <c r="X5" s="94"/>
      <c r="Y5" s="94"/>
      <c r="AA5" t="s">
        <v>140</v>
      </c>
      <c r="AB5" s="22">
        <f>NPV($AB$1,R7:R27)*(1+$AB$1)</f>
        <v>1421.4459164753891</v>
      </c>
      <c r="AC5" s="80" t="s">
        <v>148</v>
      </c>
      <c r="AF5" s="95"/>
    </row>
    <row r="6" spans="1:32" x14ac:dyDescent="0.2">
      <c r="B6" s="79" t="s">
        <v>30</v>
      </c>
      <c r="C6" s="79" t="s">
        <v>130</v>
      </c>
      <c r="D6" s="79" t="s">
        <v>31</v>
      </c>
      <c r="E6" s="79" t="s">
        <v>132</v>
      </c>
      <c r="F6" s="79" t="s">
        <v>133</v>
      </c>
      <c r="G6" s="79" t="s">
        <v>134</v>
      </c>
      <c r="H6" s="79" t="s">
        <v>37</v>
      </c>
      <c r="I6" s="79" t="s">
        <v>38</v>
      </c>
      <c r="J6" s="79" t="s">
        <v>135</v>
      </c>
      <c r="K6" s="79"/>
      <c r="L6" s="79" t="s">
        <v>41</v>
      </c>
      <c r="M6" s="79" t="s">
        <v>42</v>
      </c>
      <c r="N6" s="79" t="s">
        <v>43</v>
      </c>
      <c r="O6" s="79" t="s">
        <v>44</v>
      </c>
      <c r="P6" s="79"/>
      <c r="Q6" s="79" t="s">
        <v>32</v>
      </c>
      <c r="R6" s="79" t="s">
        <v>33</v>
      </c>
      <c r="S6" s="79" t="s">
        <v>36</v>
      </c>
      <c r="T6" s="79" t="s">
        <v>45</v>
      </c>
      <c r="U6" s="79" t="s">
        <v>46</v>
      </c>
      <c r="V6" s="79" t="s">
        <v>37</v>
      </c>
      <c r="W6" s="79" t="s">
        <v>38</v>
      </c>
      <c r="X6" s="79" t="s">
        <v>40</v>
      </c>
      <c r="Y6" s="79"/>
      <c r="AA6" t="s">
        <v>142</v>
      </c>
      <c r="AB6" s="22">
        <f>NPV(AB1,T8:T27)*(1+AB1)^0.5</f>
        <v>29287.943729858125</v>
      </c>
      <c r="AC6" s="80" t="s">
        <v>149</v>
      </c>
      <c r="AF6" s="95" t="s">
        <v>87</v>
      </c>
    </row>
    <row r="7" spans="1:32" x14ac:dyDescent="0.2">
      <c r="A7">
        <v>0</v>
      </c>
      <c r="B7">
        <f>42</f>
        <v>42</v>
      </c>
      <c r="C7" s="43">
        <v>500000</v>
      </c>
      <c r="D7" s="43"/>
      <c r="E7" s="43">
        <v>850</v>
      </c>
      <c r="F7" s="43"/>
      <c r="G7" s="43">
        <f t="shared" ref="G7:G26" si="0">$AB$2</f>
        <v>28606.708465444346</v>
      </c>
      <c r="H7" s="43"/>
      <c r="I7" s="43"/>
      <c r="J7" s="43">
        <f>G7*0.4</f>
        <v>11442.68338617774</v>
      </c>
      <c r="L7" s="77">
        <f>'Q2 - Data'!F29/'Q2 - Data'!B29</f>
        <v>9.2200038984407322E-4</v>
      </c>
      <c r="M7" s="77">
        <v>1</v>
      </c>
      <c r="N7" s="77">
        <f>M7*L7</f>
        <v>9.2200038984407322E-4</v>
      </c>
      <c r="O7" s="77">
        <f>M7-N7</f>
        <v>0.99907799961015598</v>
      </c>
      <c r="P7" s="81"/>
      <c r="Q7" s="10">
        <f>E7*M7</f>
        <v>850</v>
      </c>
      <c r="R7" s="10">
        <f>F7*M7</f>
        <v>0</v>
      </c>
      <c r="S7" s="10">
        <f>G7*M7</f>
        <v>28606.708465444346</v>
      </c>
      <c r="T7" s="10">
        <v>0</v>
      </c>
      <c r="U7" s="10">
        <f>O7*SUM(C7:D7)*(A7=20)</f>
        <v>0</v>
      </c>
      <c r="V7" s="9">
        <v>0</v>
      </c>
      <c r="W7" s="9">
        <f>O7*SUM(I7)*(A7=20)</f>
        <v>0</v>
      </c>
      <c r="X7" s="10">
        <f>J7*M7</f>
        <v>11442.68338617774</v>
      </c>
      <c r="Z7" s="23"/>
      <c r="AA7" t="s">
        <v>143</v>
      </c>
      <c r="AB7" s="22">
        <f>NPV($AB$1,U$8:U$27)</f>
        <v>335509.88991933898</v>
      </c>
      <c r="AC7" s="80" t="s">
        <v>150</v>
      </c>
      <c r="AF7" s="95"/>
    </row>
    <row r="8" spans="1:32" x14ac:dyDescent="0.2">
      <c r="A8">
        <v>1</v>
      </c>
      <c r="B8">
        <f>B7+1</f>
        <v>43</v>
      </c>
      <c r="C8" s="43">
        <f>$C$7</f>
        <v>500000</v>
      </c>
      <c r="D8" s="43">
        <f>A8*3%*C8</f>
        <v>15000</v>
      </c>
      <c r="E8" s="43"/>
      <c r="F8" s="43">
        <f>100</f>
        <v>100</v>
      </c>
      <c r="G8" s="43">
        <f t="shared" si="0"/>
        <v>28606.708465444346</v>
      </c>
      <c r="H8" s="43">
        <f>500*(1+1.25%)^A8</f>
        <v>506.25</v>
      </c>
      <c r="I8" s="43">
        <f>300*(1+1.25%)^A8</f>
        <v>303.75</v>
      </c>
      <c r="J8" s="43">
        <f>G8*0.05</f>
        <v>1430.3354232722174</v>
      </c>
      <c r="L8" s="77">
        <f>'Q2 - Data'!G30/'Q2 - Data'!C30</f>
        <v>1.1500021642700986E-3</v>
      </c>
      <c r="M8" s="77">
        <f>O7</f>
        <v>0.99907799961015598</v>
      </c>
      <c r="N8" s="77">
        <f>M8*L8</f>
        <v>1.1489418618263201E-3</v>
      </c>
      <c r="O8" s="77">
        <f>M8-N8</f>
        <v>0.99792905774832963</v>
      </c>
      <c r="P8" s="81"/>
      <c r="Q8" s="10">
        <f t="shared" ref="Q8:Q27" si="1">E8*M8</f>
        <v>0</v>
      </c>
      <c r="R8" s="10">
        <f t="shared" ref="R8:R26" si="2">F8*M8</f>
        <v>99.907799961015598</v>
      </c>
      <c r="S8" s="10">
        <f t="shared" ref="S8:S27" si="3">G8*M8</f>
        <v>28580.333069087053</v>
      </c>
      <c r="T8" s="10">
        <f>N7*SUM(C7:D7)</f>
        <v>461.0001949220366</v>
      </c>
      <c r="U8" s="10">
        <f t="shared" ref="U8:U27" si="4">O8*SUM(C8:D8)*(A8=20)</f>
        <v>0</v>
      </c>
      <c r="V8" s="9">
        <f>N7*H8</f>
        <v>0.46676269735856207</v>
      </c>
      <c r="W8" s="9">
        <f t="shared" ref="W8:W27" si="5">O8*SUM(I8)*(A8=20)</f>
        <v>0</v>
      </c>
      <c r="X8" s="10">
        <f t="shared" ref="X8:X27" si="6">J8*M8</f>
        <v>1429.0166534543528</v>
      </c>
      <c r="Z8" s="23"/>
      <c r="AA8" t="s">
        <v>144</v>
      </c>
      <c r="AB8" s="22">
        <f>NPV($AB$1,V$8:V$27)*(1+AB1)^0.5</f>
        <v>25.410263417668247</v>
      </c>
      <c r="AC8" s="80" t="s">
        <v>149</v>
      </c>
      <c r="AF8" s="95" t="s">
        <v>82</v>
      </c>
    </row>
    <row r="9" spans="1:32" x14ac:dyDescent="0.2">
      <c r="A9">
        <f>A8+1</f>
        <v>2</v>
      </c>
      <c r="B9">
        <f t="shared" ref="B9:B27" si="7">B8+1</f>
        <v>44</v>
      </c>
      <c r="C9" s="43">
        <f t="shared" ref="C9:C27" si="8">$C$7</f>
        <v>500000</v>
      </c>
      <c r="D9" s="43">
        <f t="shared" ref="D9:D27" si="9">A9*3%*C9</f>
        <v>30000</v>
      </c>
      <c r="E9" s="43"/>
      <c r="F9" s="43">
        <f>F8*(1+1.25%)</f>
        <v>101.25</v>
      </c>
      <c r="G9" s="43">
        <f t="shared" si="0"/>
        <v>28606.708465444346</v>
      </c>
      <c r="H9" s="43">
        <f t="shared" ref="H9:H26" si="10">500*(1+1.25%)^A9</f>
        <v>512.578125</v>
      </c>
      <c r="I9" s="43">
        <f t="shared" ref="I9:I27" si="11">300*(1+1.25%)^A9</f>
        <v>307.546875</v>
      </c>
      <c r="J9" s="43">
        <f t="shared" ref="J9:J26" si="12">G9*0.05</f>
        <v>1430.3354232722174</v>
      </c>
      <c r="L9" s="77">
        <f>'Q2 - Data'!H31/'Q2 - Data'!D31</f>
        <v>1.3270000000000194E-3</v>
      </c>
      <c r="M9" s="77">
        <f t="shared" ref="M9:M27" si="13">O8</f>
        <v>0.99792905774832963</v>
      </c>
      <c r="N9" s="77">
        <f t="shared" ref="N9:N27" si="14">M9*L9</f>
        <v>1.3242518596320526E-3</v>
      </c>
      <c r="O9" s="77">
        <f t="shared" ref="O9:O27" si="15">M9-N9</f>
        <v>0.9966048058886976</v>
      </c>
      <c r="P9" s="81"/>
      <c r="Q9" s="10">
        <f t="shared" si="1"/>
        <v>0</v>
      </c>
      <c r="R9" s="10">
        <f t="shared" si="2"/>
        <v>101.04031709701837</v>
      </c>
      <c r="S9" s="10">
        <f t="shared" si="3"/>
        <v>28547.465624202039</v>
      </c>
      <c r="T9" s="10">
        <f t="shared" ref="T9:T27" si="16">N8*SUM(C8:D8)</f>
        <v>591.70505884055478</v>
      </c>
      <c r="U9" s="10">
        <f t="shared" si="4"/>
        <v>0</v>
      </c>
      <c r="V9" s="9">
        <f t="shared" ref="V9:V27" si="17">N8*H9</f>
        <v>0.58892246526894421</v>
      </c>
      <c r="W9" s="9">
        <f t="shared" si="5"/>
        <v>0</v>
      </c>
      <c r="X9" s="10">
        <f t="shared" si="6"/>
        <v>1427.3732812101023</v>
      </c>
      <c r="Z9" s="23"/>
      <c r="AA9" t="s">
        <v>145</v>
      </c>
      <c r="AB9" s="22">
        <f>NPV($AB$1,W$8:W$27)</f>
        <v>161.30106393114056</v>
      </c>
      <c r="AF9" s="95"/>
    </row>
    <row r="10" spans="1:32" x14ac:dyDescent="0.2">
      <c r="A10">
        <f t="shared" ref="A10:A27" si="18">A9+1</f>
        <v>3</v>
      </c>
      <c r="B10">
        <f t="shared" si="7"/>
        <v>45</v>
      </c>
      <c r="C10" s="43">
        <f t="shared" si="8"/>
        <v>500000</v>
      </c>
      <c r="D10" s="43">
        <f t="shared" si="9"/>
        <v>45000</v>
      </c>
      <c r="E10" s="43"/>
      <c r="F10" s="43">
        <f t="shared" ref="F10:F26" si="19">F9*(1+1.25%)</f>
        <v>102.515625</v>
      </c>
      <c r="G10" s="43">
        <f t="shared" si="0"/>
        <v>28606.708465444346</v>
      </c>
      <c r="H10" s="43">
        <f t="shared" si="10"/>
        <v>518.98535156249989</v>
      </c>
      <c r="I10" s="43">
        <f t="shared" si="11"/>
        <v>311.39121093749998</v>
      </c>
      <c r="J10" s="43">
        <f t="shared" si="12"/>
        <v>1430.3354232722174</v>
      </c>
      <c r="L10" s="77">
        <f>'Q2 - Data'!H32/'Q2 - Data'!D32</f>
        <v>1.4649999999999626E-3</v>
      </c>
      <c r="M10" s="77">
        <f t="shared" si="13"/>
        <v>0.9966048058886976</v>
      </c>
      <c r="N10" s="77">
        <f t="shared" si="14"/>
        <v>1.4600260406269047E-3</v>
      </c>
      <c r="O10" s="77">
        <f t="shared" si="15"/>
        <v>0.9951447798480707</v>
      </c>
      <c r="P10" s="81"/>
      <c r="Q10" s="10">
        <f t="shared" si="1"/>
        <v>0</v>
      </c>
      <c r="R10" s="10">
        <f t="shared" si="2"/>
        <v>102.16756455368352</v>
      </c>
      <c r="S10" s="10">
        <f t="shared" si="3"/>
        <v>28509.583137318725</v>
      </c>
      <c r="T10" s="9">
        <f t="shared" si="16"/>
        <v>701.8534856049879</v>
      </c>
      <c r="U10" s="9">
        <f t="shared" si="4"/>
        <v>0</v>
      </c>
      <c r="V10" s="9">
        <f t="shared" si="17"/>
        <v>0.68726731692843512</v>
      </c>
      <c r="W10" s="9">
        <f t="shared" si="5"/>
        <v>0</v>
      </c>
      <c r="X10" s="10">
        <f t="shared" si="6"/>
        <v>1425.4791568659364</v>
      </c>
      <c r="Z10" s="23"/>
      <c r="AA10" t="s">
        <v>146</v>
      </c>
      <c r="AB10" s="22">
        <f>NPV($AB$1,X7:X27)*(1+$AB$1)</f>
        <v>29868.576323743782</v>
      </c>
      <c r="AF10" s="45"/>
    </row>
    <row r="11" spans="1:32" x14ac:dyDescent="0.2">
      <c r="A11">
        <f t="shared" si="18"/>
        <v>4</v>
      </c>
      <c r="B11">
        <f t="shared" si="7"/>
        <v>46</v>
      </c>
      <c r="C11" s="43">
        <f t="shared" si="8"/>
        <v>500000</v>
      </c>
      <c r="D11" s="43">
        <f t="shared" si="9"/>
        <v>60000</v>
      </c>
      <c r="E11" s="43"/>
      <c r="F11" s="43">
        <f t="shared" si="19"/>
        <v>103.7970703125</v>
      </c>
      <c r="G11" s="43">
        <f t="shared" si="0"/>
        <v>28606.708465444346</v>
      </c>
      <c r="H11" s="43">
        <f t="shared" si="10"/>
        <v>525.4726684570312</v>
      </c>
      <c r="I11" s="43">
        <f t="shared" si="11"/>
        <v>315.28360107421872</v>
      </c>
      <c r="J11" s="43">
        <f t="shared" si="12"/>
        <v>1430.3354232722174</v>
      </c>
      <c r="L11" s="77">
        <f>'Q2 - Data'!H33/'Q2 - Data'!D33</f>
        <v>1.6220000000000613E-3</v>
      </c>
      <c r="M11" s="77">
        <f t="shared" si="13"/>
        <v>0.9951447798480707</v>
      </c>
      <c r="N11" s="77">
        <f t="shared" si="14"/>
        <v>1.6141248329136317E-3</v>
      </c>
      <c r="O11" s="77">
        <f t="shared" si="15"/>
        <v>0.99353065501515703</v>
      </c>
      <c r="P11" s="81"/>
      <c r="Q11" s="10">
        <f t="shared" si="1"/>
        <v>0</v>
      </c>
      <c r="R11" s="10">
        <f t="shared" si="2"/>
        <v>103.29311268500753</v>
      </c>
      <c r="S11" s="10">
        <f t="shared" si="3"/>
        <v>28467.816598022553</v>
      </c>
      <c r="T11" s="10">
        <f t="shared" si="16"/>
        <v>795.71419214166303</v>
      </c>
      <c r="U11" s="10">
        <f t="shared" si="4"/>
        <v>0</v>
      </c>
      <c r="V11" s="9">
        <f t="shared" si="17"/>
        <v>0.76720377958497343</v>
      </c>
      <c r="W11" s="9">
        <f t="shared" si="5"/>
        <v>0</v>
      </c>
      <c r="X11" s="10">
        <f t="shared" si="6"/>
        <v>1423.3908299011277</v>
      </c>
      <c r="Z11" s="23"/>
    </row>
    <row r="12" spans="1:32" x14ac:dyDescent="0.2">
      <c r="A12">
        <f t="shared" si="18"/>
        <v>5</v>
      </c>
      <c r="B12">
        <f t="shared" si="7"/>
        <v>47</v>
      </c>
      <c r="C12" s="43">
        <f t="shared" si="8"/>
        <v>500000</v>
      </c>
      <c r="D12" s="43">
        <f t="shared" si="9"/>
        <v>75000</v>
      </c>
      <c r="E12" s="43"/>
      <c r="F12" s="43">
        <f t="shared" si="19"/>
        <v>105.09453369140624</v>
      </c>
      <c r="G12" s="43">
        <f t="shared" si="0"/>
        <v>28606.708465444346</v>
      </c>
      <c r="H12" s="43">
        <f t="shared" si="10"/>
        <v>532.041076812744</v>
      </c>
      <c r="I12" s="43">
        <f t="shared" si="11"/>
        <v>319.22464608764642</v>
      </c>
      <c r="J12" s="43">
        <f t="shared" si="12"/>
        <v>1430.3354232722174</v>
      </c>
      <c r="L12" s="77">
        <f>'Q2 - Data'!H34/'Q2 - Data'!D34</f>
        <v>1.8019999999999542E-3</v>
      </c>
      <c r="M12" s="77">
        <f t="shared" si="13"/>
        <v>0.99353065501515703</v>
      </c>
      <c r="N12" s="77">
        <f t="shared" si="14"/>
        <v>1.7903422403372676E-3</v>
      </c>
      <c r="O12" s="77">
        <f t="shared" si="15"/>
        <v>0.99174031277481978</v>
      </c>
      <c r="P12" s="81"/>
      <c r="Q12" s="10">
        <f t="shared" si="1"/>
        <v>0</v>
      </c>
      <c r="R12" s="10">
        <f t="shared" si="2"/>
        <v>104.41464089693532</v>
      </c>
      <c r="S12" s="10">
        <f t="shared" si="3"/>
        <v>28421.641799500558</v>
      </c>
      <c r="T12" s="10">
        <f t="shared" si="16"/>
        <v>903.90990643163377</v>
      </c>
      <c r="U12" s="10">
        <f t="shared" si="4"/>
        <v>0</v>
      </c>
      <c r="V12" s="9">
        <f t="shared" si="17"/>
        <v>0.85878071421355906</v>
      </c>
      <c r="W12" s="9">
        <f t="shared" si="5"/>
        <v>0</v>
      </c>
      <c r="X12" s="10">
        <f t="shared" si="6"/>
        <v>1421.0820899750281</v>
      </c>
      <c r="Z12" s="23"/>
      <c r="AA12" t="s">
        <v>151</v>
      </c>
    </row>
    <row r="13" spans="1:32" x14ac:dyDescent="0.2">
      <c r="A13">
        <f t="shared" si="18"/>
        <v>6</v>
      </c>
      <c r="B13">
        <f t="shared" si="7"/>
        <v>48</v>
      </c>
      <c r="C13" s="43">
        <f t="shared" si="8"/>
        <v>500000</v>
      </c>
      <c r="D13" s="43">
        <f t="shared" si="9"/>
        <v>90000</v>
      </c>
      <c r="E13" s="43"/>
      <c r="F13" s="43">
        <f t="shared" si="19"/>
        <v>106.40821536254882</v>
      </c>
      <c r="G13" s="43">
        <f t="shared" si="0"/>
        <v>28606.708465444346</v>
      </c>
      <c r="H13" s="43">
        <f t="shared" si="10"/>
        <v>538.69159027290334</v>
      </c>
      <c r="I13" s="43">
        <f t="shared" si="11"/>
        <v>323.21495416374199</v>
      </c>
      <c r="J13" s="43">
        <f t="shared" si="12"/>
        <v>1430.3354232722174</v>
      </c>
      <c r="L13" s="77">
        <f>'Q2 - Data'!H35/'Q2 - Data'!D35</f>
        <v>2.0079999999999599E-3</v>
      </c>
      <c r="M13" s="77">
        <f t="shared" si="13"/>
        <v>0.99174031277481978</v>
      </c>
      <c r="N13" s="77">
        <f t="shared" si="14"/>
        <v>1.9914145480517983E-3</v>
      </c>
      <c r="O13" s="77">
        <f t="shared" si="15"/>
        <v>0.98974889822676793</v>
      </c>
      <c r="P13" s="81"/>
      <c r="Q13" s="10">
        <f t="shared" si="1"/>
        <v>0</v>
      </c>
      <c r="R13" s="10">
        <f t="shared" si="2"/>
        <v>105.52931678546454</v>
      </c>
      <c r="S13" s="10">
        <f t="shared" si="3"/>
        <v>28370.426000977859</v>
      </c>
      <c r="T13" s="10">
        <f t="shared" si="16"/>
        <v>1029.4467881939288</v>
      </c>
      <c r="U13" s="10">
        <f t="shared" si="4"/>
        <v>0</v>
      </c>
      <c r="V13" s="9">
        <f t="shared" si="17"/>
        <v>0.96444230858003521</v>
      </c>
      <c r="W13" s="9">
        <f t="shared" si="5"/>
        <v>0</v>
      </c>
      <c r="X13" s="10">
        <f t="shared" si="6"/>
        <v>1418.5213000488932</v>
      </c>
      <c r="Z13" s="23"/>
      <c r="AB13" s="22">
        <f>AB3-SUM(AB4:AB10)</f>
        <v>0</v>
      </c>
      <c r="AC13" t="s">
        <v>152</v>
      </c>
      <c r="AF13" s="45"/>
    </row>
    <row r="14" spans="1:32" x14ac:dyDescent="0.2">
      <c r="A14">
        <f t="shared" si="18"/>
        <v>7</v>
      </c>
      <c r="B14">
        <f t="shared" si="7"/>
        <v>49</v>
      </c>
      <c r="C14" s="43">
        <f t="shared" si="8"/>
        <v>500000</v>
      </c>
      <c r="D14" s="43">
        <f t="shared" si="9"/>
        <v>105000</v>
      </c>
      <c r="E14" s="43"/>
      <c r="F14" s="43">
        <f t="shared" si="19"/>
        <v>107.73831805458067</v>
      </c>
      <c r="G14" s="43">
        <f t="shared" si="0"/>
        <v>28606.708465444346</v>
      </c>
      <c r="H14" s="43">
        <f t="shared" si="10"/>
        <v>545.42523515131461</v>
      </c>
      <c r="I14" s="43">
        <f t="shared" si="11"/>
        <v>327.25514109078875</v>
      </c>
      <c r="J14" s="43">
        <f t="shared" si="12"/>
        <v>1430.3354232722174</v>
      </c>
      <c r="L14" s="77">
        <f>'Q2 - Data'!H36/'Q2 - Data'!D36</f>
        <v>2.2410000000001075E-3</v>
      </c>
      <c r="M14" s="77">
        <f t="shared" si="13"/>
        <v>0.98974889822676793</v>
      </c>
      <c r="N14" s="77">
        <f t="shared" si="14"/>
        <v>2.2180272809262931E-3</v>
      </c>
      <c r="O14" s="77">
        <f t="shared" si="15"/>
        <v>0.98753087094584169</v>
      </c>
      <c r="P14" s="81"/>
      <c r="Q14" s="10">
        <f t="shared" si="1"/>
        <v>0</v>
      </c>
      <c r="R14" s="10">
        <f t="shared" si="2"/>
        <v>106.63388159132631</v>
      </c>
      <c r="S14" s="10">
        <f t="shared" si="3"/>
        <v>28313.458185567895</v>
      </c>
      <c r="T14" s="10">
        <f t="shared" si="16"/>
        <v>1174.9345833505611</v>
      </c>
      <c r="U14" s="10">
        <f t="shared" si="4"/>
        <v>0</v>
      </c>
      <c r="V14" s="9">
        <f t="shared" si="17"/>
        <v>1.086167748154901</v>
      </c>
      <c r="W14" s="9">
        <f t="shared" si="5"/>
        <v>0</v>
      </c>
      <c r="X14" s="10">
        <f t="shared" si="6"/>
        <v>1415.6729092783949</v>
      </c>
      <c r="Z14" s="23"/>
    </row>
    <row r="15" spans="1:32" x14ac:dyDescent="0.2">
      <c r="A15">
        <f t="shared" si="18"/>
        <v>8</v>
      </c>
      <c r="B15">
        <f t="shared" si="7"/>
        <v>50</v>
      </c>
      <c r="C15" s="43">
        <f t="shared" si="8"/>
        <v>500000</v>
      </c>
      <c r="D15" s="43">
        <f t="shared" si="9"/>
        <v>120000</v>
      </c>
      <c r="E15" s="43"/>
      <c r="F15" s="43">
        <f t="shared" si="19"/>
        <v>109.08504703026293</v>
      </c>
      <c r="G15" s="43">
        <f t="shared" si="0"/>
        <v>28606.708465444346</v>
      </c>
      <c r="H15" s="43">
        <f t="shared" si="10"/>
        <v>552.24305059070616</v>
      </c>
      <c r="I15" s="43">
        <f t="shared" si="11"/>
        <v>331.34583035442364</v>
      </c>
      <c r="J15" s="43">
        <f t="shared" si="12"/>
        <v>1430.3354232722174</v>
      </c>
      <c r="L15" s="77">
        <f>'Q2 - Data'!H37/'Q2 - Data'!D37</f>
        <v>2.5079999999998615E-3</v>
      </c>
      <c r="M15" s="77">
        <f t="shared" si="13"/>
        <v>0.98753087094584169</v>
      </c>
      <c r="N15" s="77">
        <f t="shared" si="14"/>
        <v>2.4767274243320341E-3</v>
      </c>
      <c r="O15" s="77">
        <f t="shared" si="15"/>
        <v>0.98505414352150966</v>
      </c>
      <c r="P15" s="81"/>
      <c r="Q15" s="10">
        <f t="shared" si="1"/>
        <v>0</v>
      </c>
      <c r="R15" s="10">
        <f t="shared" si="2"/>
        <v>107.72485150096365</v>
      </c>
      <c r="S15" s="10">
        <f t="shared" si="3"/>
        <v>28250.007725774038</v>
      </c>
      <c r="T15" s="10">
        <f t="shared" si="16"/>
        <v>1341.9065049604073</v>
      </c>
      <c r="U15" s="10">
        <f t="shared" si="4"/>
        <v>0</v>
      </c>
      <c r="V15" s="9">
        <f t="shared" si="17"/>
        <v>1.2248901519121453</v>
      </c>
      <c r="W15" s="9">
        <f t="shared" si="5"/>
        <v>0</v>
      </c>
      <c r="X15" s="10">
        <f t="shared" si="6"/>
        <v>1412.500386288702</v>
      </c>
      <c r="Z15" s="23"/>
    </row>
    <row r="16" spans="1:32" x14ac:dyDescent="0.2">
      <c r="A16">
        <f t="shared" si="18"/>
        <v>9</v>
      </c>
      <c r="B16">
        <f t="shared" si="7"/>
        <v>51</v>
      </c>
      <c r="C16" s="43">
        <f t="shared" si="8"/>
        <v>500000</v>
      </c>
      <c r="D16" s="43">
        <f t="shared" si="9"/>
        <v>135000</v>
      </c>
      <c r="E16" s="43"/>
      <c r="F16" s="43">
        <f t="shared" si="19"/>
        <v>110.4486101181412</v>
      </c>
      <c r="G16" s="43">
        <f t="shared" si="0"/>
        <v>28606.708465444346</v>
      </c>
      <c r="H16" s="43">
        <f t="shared" si="10"/>
        <v>559.14608872308986</v>
      </c>
      <c r="I16" s="43">
        <f t="shared" si="11"/>
        <v>335.48765323385396</v>
      </c>
      <c r="J16" s="43">
        <f t="shared" si="12"/>
        <v>1430.3354232722174</v>
      </c>
      <c r="L16" s="77">
        <f>'Q2 - Data'!H38/'Q2 - Data'!D38</f>
        <v>2.8089999999999665E-3</v>
      </c>
      <c r="M16" s="77">
        <f t="shared" si="13"/>
        <v>0.98505414352150966</v>
      </c>
      <c r="N16" s="77">
        <f t="shared" si="14"/>
        <v>2.7670170891518878E-3</v>
      </c>
      <c r="O16" s="77">
        <f t="shared" si="15"/>
        <v>0.98228712643235783</v>
      </c>
      <c r="P16" s="81"/>
      <c r="Q16" s="10">
        <f t="shared" si="1"/>
        <v>0</v>
      </c>
      <c r="R16" s="10">
        <f t="shared" si="2"/>
        <v>108.79786104306673</v>
      </c>
      <c r="S16" s="10">
        <f t="shared" si="3"/>
        <v>28179.1567063978</v>
      </c>
      <c r="T16" s="10">
        <f t="shared" si="16"/>
        <v>1535.5710030858611</v>
      </c>
      <c r="U16" s="10">
        <f t="shared" si="4"/>
        <v>0</v>
      </c>
      <c r="V16" s="9">
        <f t="shared" si="17"/>
        <v>1.3848524521484693</v>
      </c>
      <c r="W16" s="9">
        <f t="shared" si="5"/>
        <v>0</v>
      </c>
      <c r="X16" s="10">
        <f t="shared" si="6"/>
        <v>1408.9578353198901</v>
      </c>
      <c r="Z16" s="23"/>
    </row>
    <row r="17" spans="1:26" x14ac:dyDescent="0.2">
      <c r="A17">
        <f t="shared" si="18"/>
        <v>10</v>
      </c>
      <c r="B17">
        <f t="shared" si="7"/>
        <v>52</v>
      </c>
      <c r="C17" s="43">
        <f t="shared" si="8"/>
        <v>500000</v>
      </c>
      <c r="D17" s="43">
        <f t="shared" si="9"/>
        <v>150000</v>
      </c>
      <c r="E17" s="43"/>
      <c r="F17" s="43">
        <f t="shared" si="19"/>
        <v>111.82921774461796</v>
      </c>
      <c r="G17" s="43">
        <f t="shared" si="0"/>
        <v>28606.708465444346</v>
      </c>
      <c r="H17" s="43">
        <f t="shared" si="10"/>
        <v>566.13541483212862</v>
      </c>
      <c r="I17" s="43">
        <f t="shared" si="11"/>
        <v>339.68124889927714</v>
      </c>
      <c r="J17" s="43">
        <f t="shared" si="12"/>
        <v>1430.3354232722174</v>
      </c>
      <c r="L17" s="77">
        <f>'Q2 - Data'!H39/'Q2 - Data'!D39</f>
        <v>3.1519999999999829E-3</v>
      </c>
      <c r="M17" s="77">
        <f t="shared" si="13"/>
        <v>0.98228712643235783</v>
      </c>
      <c r="N17" s="77">
        <f t="shared" si="14"/>
        <v>3.0961690225147749E-3</v>
      </c>
      <c r="O17" s="77">
        <f t="shared" si="15"/>
        <v>0.97919095740984308</v>
      </c>
      <c r="P17" s="81"/>
      <c r="Q17" s="10">
        <f t="shared" si="1"/>
        <v>0</v>
      </c>
      <c r="R17" s="10">
        <f t="shared" si="2"/>
        <v>109.84840094953923</v>
      </c>
      <c r="S17" s="10">
        <f t="shared" si="3"/>
        <v>28100.001455209531</v>
      </c>
      <c r="T17" s="10">
        <f t="shared" si="16"/>
        <v>1757.0558516114488</v>
      </c>
      <c r="U17" s="10">
        <f t="shared" si="4"/>
        <v>0</v>
      </c>
      <c r="V17" s="9">
        <f t="shared" si="17"/>
        <v>1.5665063676145929</v>
      </c>
      <c r="W17" s="9">
        <f t="shared" si="5"/>
        <v>0</v>
      </c>
      <c r="X17" s="10">
        <f t="shared" si="6"/>
        <v>1405.0000727604768</v>
      </c>
      <c r="Z17" s="23"/>
    </row>
    <row r="18" spans="1:26" x14ac:dyDescent="0.2">
      <c r="A18">
        <f t="shared" si="18"/>
        <v>11</v>
      </c>
      <c r="B18">
        <f t="shared" si="7"/>
        <v>53</v>
      </c>
      <c r="C18" s="43">
        <f t="shared" si="8"/>
        <v>500000</v>
      </c>
      <c r="D18" s="43">
        <f t="shared" si="9"/>
        <v>164999.99999999997</v>
      </c>
      <c r="E18" s="43"/>
      <c r="F18" s="43">
        <f t="shared" si="19"/>
        <v>113.22708296642568</v>
      </c>
      <c r="G18" s="43">
        <f t="shared" si="0"/>
        <v>28606.708465444346</v>
      </c>
      <c r="H18" s="43">
        <f t="shared" si="10"/>
        <v>573.21210751753006</v>
      </c>
      <c r="I18" s="43">
        <f t="shared" si="11"/>
        <v>343.927264510518</v>
      </c>
      <c r="J18" s="43">
        <f t="shared" si="12"/>
        <v>1430.3354232722174</v>
      </c>
      <c r="L18" s="77">
        <f>'Q2 - Data'!H40/'Q2 - Data'!D40</f>
        <v>3.5389999999999042E-3</v>
      </c>
      <c r="M18" s="77">
        <f t="shared" si="13"/>
        <v>0.97919095740984308</v>
      </c>
      <c r="N18" s="77">
        <f t="shared" si="14"/>
        <v>3.4653567982733408E-3</v>
      </c>
      <c r="O18" s="77">
        <f t="shared" si="15"/>
        <v>0.97572560061156977</v>
      </c>
      <c r="P18" s="81"/>
      <c r="Q18" s="10">
        <f t="shared" si="1"/>
        <v>0</v>
      </c>
      <c r="R18" s="10">
        <f t="shared" si="2"/>
        <v>110.8709357746181</v>
      </c>
      <c r="S18" s="10">
        <f t="shared" si="3"/>
        <v>28011.43025062271</v>
      </c>
      <c r="T18" s="10">
        <f t="shared" si="16"/>
        <v>2012.5098646346037</v>
      </c>
      <c r="U18" s="10">
        <f t="shared" si="4"/>
        <v>0</v>
      </c>
      <c r="V18" s="9">
        <f t="shared" si="17"/>
        <v>1.7747615706261852</v>
      </c>
      <c r="W18" s="9">
        <f t="shared" si="5"/>
        <v>0</v>
      </c>
      <c r="X18" s="10">
        <f t="shared" si="6"/>
        <v>1400.5715125311358</v>
      </c>
      <c r="Z18" s="23"/>
    </row>
    <row r="19" spans="1:26" x14ac:dyDescent="0.2">
      <c r="A19">
        <f t="shared" si="18"/>
        <v>12</v>
      </c>
      <c r="B19">
        <f t="shared" si="7"/>
        <v>54</v>
      </c>
      <c r="C19" s="43">
        <f t="shared" si="8"/>
        <v>500000</v>
      </c>
      <c r="D19" s="43">
        <f t="shared" si="9"/>
        <v>180000</v>
      </c>
      <c r="E19" s="43"/>
      <c r="F19" s="43">
        <f t="shared" si="19"/>
        <v>114.642421503506</v>
      </c>
      <c r="G19" s="43">
        <f t="shared" si="0"/>
        <v>28606.708465444346</v>
      </c>
      <c r="H19" s="43">
        <f t="shared" si="10"/>
        <v>580.37725886149929</v>
      </c>
      <c r="I19" s="43">
        <f t="shared" si="11"/>
        <v>348.22635531689957</v>
      </c>
      <c r="J19" s="43">
        <f t="shared" si="12"/>
        <v>1430.3354232722174</v>
      </c>
      <c r="L19" s="77">
        <f>'Q2 - Data'!H41/'Q2 - Data'!D41</f>
        <v>3.9760000000000177E-3</v>
      </c>
      <c r="M19" s="77">
        <f t="shared" si="13"/>
        <v>0.97572560061156977</v>
      </c>
      <c r="N19" s="77">
        <f t="shared" si="14"/>
        <v>3.8794849880316186E-3</v>
      </c>
      <c r="O19" s="77">
        <f t="shared" si="15"/>
        <v>0.97184611562353818</v>
      </c>
      <c r="P19" s="81"/>
      <c r="Q19" s="10">
        <f t="shared" si="1"/>
        <v>0</v>
      </c>
      <c r="R19" s="10">
        <f t="shared" si="2"/>
        <v>111.85954557707313</v>
      </c>
      <c r="S19" s="10">
        <f t="shared" si="3"/>
        <v>27912.297798965763</v>
      </c>
      <c r="T19" s="10">
        <f t="shared" si="16"/>
        <v>2304.4622708517718</v>
      </c>
      <c r="U19" s="10">
        <f t="shared" si="4"/>
        <v>0</v>
      </c>
      <c r="V19" s="9">
        <f t="shared" si="17"/>
        <v>2.0112142795589429</v>
      </c>
      <c r="W19" s="9">
        <f t="shared" si="5"/>
        <v>0</v>
      </c>
      <c r="X19" s="10">
        <f t="shared" si="6"/>
        <v>1395.6148899482882</v>
      </c>
      <c r="Z19" s="23"/>
    </row>
    <row r="20" spans="1:26" x14ac:dyDescent="0.2">
      <c r="A20">
        <f t="shared" si="18"/>
        <v>13</v>
      </c>
      <c r="B20">
        <f t="shared" si="7"/>
        <v>55</v>
      </c>
      <c r="C20" s="43">
        <f t="shared" si="8"/>
        <v>500000</v>
      </c>
      <c r="D20" s="43">
        <f t="shared" si="9"/>
        <v>195000</v>
      </c>
      <c r="E20" s="43"/>
      <c r="F20" s="43">
        <f t="shared" si="19"/>
        <v>116.07545177229981</v>
      </c>
      <c r="G20" s="43">
        <f t="shared" si="0"/>
        <v>28606.708465444346</v>
      </c>
      <c r="H20" s="43">
        <f t="shared" si="10"/>
        <v>587.63197459726791</v>
      </c>
      <c r="I20" s="43">
        <f t="shared" si="11"/>
        <v>352.57918475836073</v>
      </c>
      <c r="J20" s="43">
        <f t="shared" si="12"/>
        <v>1430.3354232722174</v>
      </c>
      <c r="L20" s="77">
        <f>'Q2 - Data'!H42/'Q2 - Data'!D42</f>
        <v>4.4690000000000294E-3</v>
      </c>
      <c r="M20" s="77">
        <f t="shared" si="13"/>
        <v>0.97184611562353818</v>
      </c>
      <c r="N20" s="77">
        <f t="shared" si="14"/>
        <v>4.3431802907216207E-3</v>
      </c>
      <c r="O20" s="77">
        <f t="shared" si="15"/>
        <v>0.9675029353328165</v>
      </c>
      <c r="P20" s="81"/>
      <c r="Q20" s="10">
        <f t="shared" si="1"/>
        <v>0</v>
      </c>
      <c r="R20" s="10">
        <f t="shared" si="2"/>
        <v>112.80747692415692</v>
      </c>
      <c r="S20" s="10">
        <f t="shared" si="3"/>
        <v>27801.318502917075</v>
      </c>
      <c r="T20" s="10">
        <f t="shared" si="16"/>
        <v>2638.0497918615006</v>
      </c>
      <c r="U20" s="10">
        <f t="shared" si="4"/>
        <v>0</v>
      </c>
      <c r="V20" s="9">
        <f t="shared" si="17"/>
        <v>2.2797094239374784</v>
      </c>
      <c r="W20" s="9">
        <f t="shared" si="5"/>
        <v>0</v>
      </c>
      <c r="X20" s="10">
        <f t="shared" si="6"/>
        <v>1390.065925145854</v>
      </c>
      <c r="Z20" s="23"/>
    </row>
    <row r="21" spans="1:26" x14ac:dyDescent="0.2">
      <c r="A21">
        <f t="shared" si="18"/>
        <v>14</v>
      </c>
      <c r="B21">
        <f t="shared" si="7"/>
        <v>56</v>
      </c>
      <c r="C21" s="43">
        <f t="shared" si="8"/>
        <v>500000</v>
      </c>
      <c r="D21" s="43">
        <f t="shared" si="9"/>
        <v>210000</v>
      </c>
      <c r="E21" s="43"/>
      <c r="F21" s="43">
        <f t="shared" si="19"/>
        <v>117.52639491945355</v>
      </c>
      <c r="G21" s="43">
        <f t="shared" si="0"/>
        <v>28606.708465444346</v>
      </c>
      <c r="H21" s="43">
        <f t="shared" si="10"/>
        <v>594.97737427973379</v>
      </c>
      <c r="I21" s="43">
        <f t="shared" si="11"/>
        <v>356.98642456784029</v>
      </c>
      <c r="J21" s="43">
        <f t="shared" si="12"/>
        <v>1430.3354232722174</v>
      </c>
      <c r="L21" s="77">
        <f>'Q2 - Data'!H43/'Q2 - Data'!D43</f>
        <v>5.0249999999998846E-3</v>
      </c>
      <c r="M21" s="77">
        <f t="shared" si="13"/>
        <v>0.9675029353328165</v>
      </c>
      <c r="N21" s="77">
        <f t="shared" si="14"/>
        <v>4.8617022500472909E-3</v>
      </c>
      <c r="O21" s="77">
        <f t="shared" si="15"/>
        <v>0.96264123308276917</v>
      </c>
      <c r="P21" s="81"/>
      <c r="Q21" s="10">
        <f t="shared" si="1"/>
        <v>0</v>
      </c>
      <c r="R21" s="10">
        <f t="shared" si="2"/>
        <v>113.70713206365512</v>
      </c>
      <c r="S21" s="10">
        <f t="shared" si="3"/>
        <v>27677.074410527537</v>
      </c>
      <c r="T21" s="10">
        <f t="shared" si="16"/>
        <v>3018.5103020515262</v>
      </c>
      <c r="U21" s="10">
        <f t="shared" si="4"/>
        <v>0</v>
      </c>
      <c r="V21" s="9">
        <f t="shared" si="17"/>
        <v>2.5840940053970409</v>
      </c>
      <c r="W21" s="9">
        <f t="shared" si="5"/>
        <v>0</v>
      </c>
      <c r="X21" s="10">
        <f t="shared" si="6"/>
        <v>1383.8537205263769</v>
      </c>
      <c r="Z21" s="23"/>
    </row>
    <row r="22" spans="1:26" x14ac:dyDescent="0.2">
      <c r="A22">
        <f t="shared" si="18"/>
        <v>15</v>
      </c>
      <c r="B22">
        <f t="shared" si="7"/>
        <v>57</v>
      </c>
      <c r="C22" s="43">
        <f t="shared" si="8"/>
        <v>500000</v>
      </c>
      <c r="D22" s="43">
        <f t="shared" si="9"/>
        <v>224999.99999999997</v>
      </c>
      <c r="E22" s="43"/>
      <c r="F22" s="43">
        <f t="shared" si="19"/>
        <v>118.99547485594671</v>
      </c>
      <c r="G22" s="43">
        <f t="shared" si="0"/>
        <v>28606.708465444346</v>
      </c>
      <c r="H22" s="43">
        <f t="shared" si="10"/>
        <v>602.41459145823035</v>
      </c>
      <c r="I22" s="43">
        <f t="shared" si="11"/>
        <v>361.44875487493823</v>
      </c>
      <c r="J22" s="43">
        <f t="shared" si="12"/>
        <v>1430.3354232722174</v>
      </c>
      <c r="L22" s="77">
        <f>'Q2 - Data'!H44/'Q2 - Data'!D44</f>
        <v>5.6499999999999519E-3</v>
      </c>
      <c r="M22" s="77">
        <f t="shared" si="13"/>
        <v>0.96264123308276917</v>
      </c>
      <c r="N22" s="77">
        <f t="shared" si="14"/>
        <v>5.4389229669175995E-3</v>
      </c>
      <c r="O22" s="77">
        <f t="shared" si="15"/>
        <v>0.95720231011585155</v>
      </c>
      <c r="P22" s="81"/>
      <c r="Q22" s="10">
        <f t="shared" si="1"/>
        <v>0</v>
      </c>
      <c r="R22" s="10">
        <f t="shared" si="2"/>
        <v>114.54995064659819</v>
      </c>
      <c r="S22" s="10">
        <f t="shared" si="3"/>
        <v>27537.997111614637</v>
      </c>
      <c r="T22" s="10">
        <f t="shared" si="16"/>
        <v>3451.8085975335766</v>
      </c>
      <c r="U22" s="10">
        <f t="shared" si="4"/>
        <v>0</v>
      </c>
      <c r="V22" s="9">
        <f t="shared" si="17"/>
        <v>2.9287603747537978</v>
      </c>
      <c r="W22" s="9">
        <f t="shared" si="5"/>
        <v>0</v>
      </c>
      <c r="X22" s="10">
        <f t="shared" si="6"/>
        <v>1376.899855580732</v>
      </c>
      <c r="Z22" s="23"/>
    </row>
    <row r="23" spans="1:26" x14ac:dyDescent="0.2">
      <c r="A23">
        <f t="shared" si="18"/>
        <v>16</v>
      </c>
      <c r="B23">
        <f t="shared" si="7"/>
        <v>58</v>
      </c>
      <c r="C23" s="43">
        <f t="shared" si="8"/>
        <v>500000</v>
      </c>
      <c r="D23" s="43">
        <f t="shared" si="9"/>
        <v>240000</v>
      </c>
      <c r="E23" s="43"/>
      <c r="F23" s="43">
        <f t="shared" si="19"/>
        <v>120.48291829164604</v>
      </c>
      <c r="G23" s="43">
        <f t="shared" si="0"/>
        <v>28606.708465444346</v>
      </c>
      <c r="H23" s="43">
        <f t="shared" si="10"/>
        <v>609.94477385145842</v>
      </c>
      <c r="I23" s="43">
        <f t="shared" si="11"/>
        <v>365.96686431087505</v>
      </c>
      <c r="J23" s="43">
        <f t="shared" si="12"/>
        <v>1430.3354232722174</v>
      </c>
      <c r="L23" s="77">
        <f>'Q2 - Data'!H45/'Q2 - Data'!D45</f>
        <v>6.3520000000000633E-3</v>
      </c>
      <c r="M23" s="77">
        <f t="shared" si="13"/>
        <v>0.95720231011585155</v>
      </c>
      <c r="N23" s="77">
        <f t="shared" si="14"/>
        <v>6.08014907385595E-3</v>
      </c>
      <c r="O23" s="77">
        <f t="shared" si="15"/>
        <v>0.95112216104199565</v>
      </c>
      <c r="P23" s="81"/>
      <c r="Q23" s="10">
        <f t="shared" si="1"/>
        <v>0</v>
      </c>
      <c r="R23" s="10">
        <f t="shared" si="2"/>
        <v>115.32652771826298</v>
      </c>
      <c r="S23" s="10">
        <f t="shared" si="3"/>
        <v>27382.407427934017</v>
      </c>
      <c r="T23" s="10">
        <f t="shared" si="16"/>
        <v>3943.2191510152597</v>
      </c>
      <c r="U23" s="10">
        <f t="shared" si="4"/>
        <v>0</v>
      </c>
      <c r="V23" s="9">
        <f t="shared" si="17"/>
        <v>3.3174426390520586</v>
      </c>
      <c r="W23" s="9">
        <f t="shared" si="5"/>
        <v>0</v>
      </c>
      <c r="X23" s="10">
        <f t="shared" si="6"/>
        <v>1369.1203713967009</v>
      </c>
      <c r="Z23" s="23"/>
    </row>
    <row r="24" spans="1:26" x14ac:dyDescent="0.2">
      <c r="A24">
        <f t="shared" si="18"/>
        <v>17</v>
      </c>
      <c r="B24">
        <f t="shared" si="7"/>
        <v>59</v>
      </c>
      <c r="C24" s="43">
        <f t="shared" si="8"/>
        <v>500000</v>
      </c>
      <c r="D24" s="43">
        <f t="shared" si="9"/>
        <v>255000</v>
      </c>
      <c r="E24" s="43"/>
      <c r="F24" s="43">
        <f t="shared" si="19"/>
        <v>121.98895477029161</v>
      </c>
      <c r="G24" s="43">
        <f t="shared" si="0"/>
        <v>28606.708465444346</v>
      </c>
      <c r="H24" s="43">
        <f t="shared" si="10"/>
        <v>617.56908352460164</v>
      </c>
      <c r="I24" s="43">
        <f t="shared" si="11"/>
        <v>370.54145011476095</v>
      </c>
      <c r="J24" s="43">
        <f t="shared" si="12"/>
        <v>1430.3354232722174</v>
      </c>
      <c r="L24" s="77">
        <f>'Q2 - Data'!H46/'Q2 - Data'!D46</f>
        <v>7.1400000000001063E-3</v>
      </c>
      <c r="M24" s="77">
        <f t="shared" si="13"/>
        <v>0.95112216104199565</v>
      </c>
      <c r="N24" s="77">
        <f t="shared" si="14"/>
        <v>6.7910122298399499E-3</v>
      </c>
      <c r="O24" s="77">
        <f t="shared" si="15"/>
        <v>0.94433114881215574</v>
      </c>
      <c r="P24" s="81"/>
      <c r="Q24" s="10">
        <f t="shared" si="1"/>
        <v>0</v>
      </c>
      <c r="R24" s="10">
        <f t="shared" si="2"/>
        <v>116.02639828437403</v>
      </c>
      <c r="S24" s="10">
        <f t="shared" si="3"/>
        <v>27208.474375951777</v>
      </c>
      <c r="T24" s="10">
        <f t="shared" si="16"/>
        <v>4499.3103146534031</v>
      </c>
      <c r="U24" s="10">
        <f t="shared" si="4"/>
        <v>0</v>
      </c>
      <c r="V24" s="9">
        <f t="shared" si="17"/>
        <v>3.7549120912341745</v>
      </c>
      <c r="W24" s="9">
        <f t="shared" si="5"/>
        <v>0</v>
      </c>
      <c r="X24" s="10">
        <f t="shared" si="6"/>
        <v>1360.4237187975891</v>
      </c>
      <c r="Z24" s="23"/>
    </row>
    <row r="25" spans="1:26" x14ac:dyDescent="0.2">
      <c r="A25">
        <f t="shared" si="18"/>
        <v>18</v>
      </c>
      <c r="B25">
        <f t="shared" si="7"/>
        <v>60</v>
      </c>
      <c r="C25" s="43">
        <f t="shared" si="8"/>
        <v>500000</v>
      </c>
      <c r="D25" s="43">
        <f t="shared" si="9"/>
        <v>270000</v>
      </c>
      <c r="E25" s="43"/>
      <c r="F25" s="43">
        <f t="shared" si="19"/>
        <v>123.51381670492026</v>
      </c>
      <c r="G25" s="43">
        <f t="shared" si="0"/>
        <v>28606.708465444346</v>
      </c>
      <c r="H25" s="43">
        <f t="shared" si="10"/>
        <v>625.28869706865919</v>
      </c>
      <c r="I25" s="43">
        <f t="shared" si="11"/>
        <v>375.17321824119551</v>
      </c>
      <c r="J25" s="43">
        <f t="shared" si="12"/>
        <v>1430.3354232722174</v>
      </c>
      <c r="L25" s="77">
        <f>'Q2 - Data'!H47/'Q2 - Data'!D47</f>
        <v>8.022000000000069E-3</v>
      </c>
      <c r="M25" s="77">
        <f t="shared" si="13"/>
        <v>0.94433114881215574</v>
      </c>
      <c r="N25" s="77">
        <f t="shared" si="14"/>
        <v>7.5754244757711784E-3</v>
      </c>
      <c r="O25" s="77">
        <f t="shared" si="15"/>
        <v>0.93675572433638454</v>
      </c>
      <c r="P25" s="81"/>
      <c r="Q25" s="10">
        <f t="shared" si="1"/>
        <v>0</v>
      </c>
      <c r="R25" s="10">
        <f t="shared" si="2"/>
        <v>116.63794442313139</v>
      </c>
      <c r="S25" s="10">
        <f t="shared" si="3"/>
        <v>27014.20586890748</v>
      </c>
      <c r="T25" s="10">
        <f t="shared" si="16"/>
        <v>5127.2142335291619</v>
      </c>
      <c r="U25" s="10">
        <f t="shared" si="4"/>
        <v>0</v>
      </c>
      <c r="V25" s="9">
        <f t="shared" si="17"/>
        <v>4.2463431889739525</v>
      </c>
      <c r="W25" s="9">
        <f t="shared" si="5"/>
        <v>0</v>
      </c>
      <c r="X25" s="10">
        <f t="shared" si="6"/>
        <v>1350.7102934453742</v>
      </c>
      <c r="Z25" s="23"/>
    </row>
    <row r="26" spans="1:26" x14ac:dyDescent="0.2">
      <c r="A26">
        <f t="shared" si="18"/>
        <v>19</v>
      </c>
      <c r="B26">
        <f t="shared" si="7"/>
        <v>61</v>
      </c>
      <c r="C26" s="43">
        <f t="shared" si="8"/>
        <v>500000</v>
      </c>
      <c r="D26" s="43">
        <f t="shared" si="9"/>
        <v>285000</v>
      </c>
      <c r="E26" s="43"/>
      <c r="F26" s="43">
        <f t="shared" si="19"/>
        <v>125.05773941373175</v>
      </c>
      <c r="G26" s="43">
        <f t="shared" si="0"/>
        <v>28606.708465444346</v>
      </c>
      <c r="H26" s="43">
        <f t="shared" si="10"/>
        <v>633.10480578201737</v>
      </c>
      <c r="I26" s="43">
        <f t="shared" si="11"/>
        <v>379.86288346921037</v>
      </c>
      <c r="J26" s="43">
        <f t="shared" si="12"/>
        <v>1430.3354232722174</v>
      </c>
      <c r="L26" s="77">
        <f>'Q2 - Data'!H48/'Q2 - Data'!D48</f>
        <v>9.0090000000001332E-3</v>
      </c>
      <c r="M26" s="77">
        <f t="shared" si="13"/>
        <v>0.93675572433638454</v>
      </c>
      <c r="N26" s="77">
        <f t="shared" si="14"/>
        <v>8.4392323205466132E-3</v>
      </c>
      <c r="O26" s="77">
        <f t="shared" si="15"/>
        <v>0.92831649201583788</v>
      </c>
      <c r="P26" s="81"/>
      <c r="Q26" s="10">
        <f t="shared" si="1"/>
        <v>0</v>
      </c>
      <c r="R26" s="10">
        <f t="shared" si="2"/>
        <v>117.14855326838111</v>
      </c>
      <c r="S26" s="10">
        <f t="shared" si="3"/>
        <v>26797.4979094271</v>
      </c>
      <c r="T26" s="10">
        <f t="shared" si="16"/>
        <v>5833.0768463438071</v>
      </c>
      <c r="U26" s="10">
        <f t="shared" si="4"/>
        <v>0</v>
      </c>
      <c r="V26" s="9">
        <f t="shared" si="17"/>
        <v>4.7960376414494528</v>
      </c>
      <c r="W26" s="9">
        <f t="shared" si="5"/>
        <v>0</v>
      </c>
      <c r="X26" s="10">
        <f t="shared" si="6"/>
        <v>1339.8748954713553</v>
      </c>
      <c r="Z26" s="23"/>
    </row>
    <row r="27" spans="1:26" x14ac:dyDescent="0.2">
      <c r="A27">
        <f t="shared" si="18"/>
        <v>20</v>
      </c>
      <c r="B27">
        <f t="shared" si="7"/>
        <v>62</v>
      </c>
      <c r="C27" s="43">
        <f t="shared" si="8"/>
        <v>500000</v>
      </c>
      <c r="D27" s="43">
        <f t="shared" si="9"/>
        <v>300000</v>
      </c>
      <c r="E27" s="43"/>
      <c r="F27" s="43"/>
      <c r="G27" s="43"/>
      <c r="H27" s="43">
        <f t="shared" ref="H27" si="20">500*(1+1.25%)^A27</f>
        <v>641.01861585429253</v>
      </c>
      <c r="I27" s="43">
        <f t="shared" si="11"/>
        <v>384.61116951257554</v>
      </c>
      <c r="J27" s="43">
        <f t="shared" ref="J27" si="21">G27*0.05</f>
        <v>0</v>
      </c>
      <c r="L27" s="77">
        <f>'Q2 - Data'!H49/'Q2 - Data'!D49</f>
        <v>1.0111999999999927E-2</v>
      </c>
      <c r="M27" s="77">
        <f t="shared" si="13"/>
        <v>0.92831649201583788</v>
      </c>
      <c r="N27" s="77">
        <f t="shared" si="14"/>
        <v>9.3871363672640845E-3</v>
      </c>
      <c r="O27" s="77">
        <f t="shared" si="15"/>
        <v>0.91892935564857381</v>
      </c>
      <c r="P27" s="81"/>
      <c r="Q27" s="10">
        <f t="shared" si="1"/>
        <v>0</v>
      </c>
      <c r="R27" s="10">
        <f>F27*M27</f>
        <v>0</v>
      </c>
      <c r="S27" s="10">
        <f t="shared" si="3"/>
        <v>0</v>
      </c>
      <c r="T27" s="10">
        <f t="shared" si="16"/>
        <v>6624.7973716290917</v>
      </c>
      <c r="U27" s="10">
        <f t="shared" si="4"/>
        <v>735143.48451885907</v>
      </c>
      <c r="V27" s="9">
        <f t="shared" si="17"/>
        <v>5.4097050209895992</v>
      </c>
      <c r="W27" s="9">
        <f t="shared" si="5"/>
        <v>353.43049417543546</v>
      </c>
      <c r="X27" s="10">
        <f t="shared" si="6"/>
        <v>0</v>
      </c>
      <c r="Z27" s="23"/>
    </row>
    <row r="30" spans="1:26" x14ac:dyDescent="0.2">
      <c r="N30" t="s">
        <v>156</v>
      </c>
    </row>
    <row r="31" spans="1:26" x14ac:dyDescent="0.2">
      <c r="N31" t="s">
        <v>157</v>
      </c>
    </row>
    <row r="32" spans="1:26" x14ac:dyDescent="0.2">
      <c r="N32" t="s">
        <v>158</v>
      </c>
    </row>
  </sheetData>
  <mergeCells count="6">
    <mergeCell ref="C5:J5"/>
    <mergeCell ref="L5:O5"/>
    <mergeCell ref="Q5:Y5"/>
    <mergeCell ref="AF8:AF9"/>
    <mergeCell ref="AF6:AF7"/>
    <mergeCell ref="AF4:AF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opLeftCell="K4" zoomScale="80" zoomScaleNormal="80" workbookViewId="0">
      <selection activeCell="W34" sqref="W34"/>
    </sheetView>
  </sheetViews>
  <sheetFormatPr defaultColWidth="8.85546875" defaultRowHeight="12.75" x14ac:dyDescent="0.2"/>
  <cols>
    <col min="3" max="4" width="11.140625" bestFit="1" customWidth="1"/>
    <col min="5" max="5" width="8.85546875" bestFit="1" customWidth="1"/>
    <col min="6" max="6" width="14.28515625" bestFit="1" customWidth="1"/>
    <col min="7" max="7" width="13.7109375" bestFit="1" customWidth="1"/>
    <col min="8" max="9" width="8.85546875" bestFit="1" customWidth="1"/>
    <col min="10" max="10" width="10.140625" bestFit="1" customWidth="1"/>
    <col min="12" max="12" width="12.42578125" bestFit="1" customWidth="1"/>
    <col min="13" max="13" width="11" bestFit="1" customWidth="1"/>
    <col min="14" max="14" width="8.5703125" bestFit="1" customWidth="1"/>
    <col min="15" max="15" width="9.5703125" bestFit="1" customWidth="1"/>
    <col min="27" max="27" width="18.42578125" bestFit="1" customWidth="1"/>
    <col min="28" max="28" width="13.28515625" bestFit="1" customWidth="1"/>
  </cols>
  <sheetData>
    <row r="1" spans="1:33" x14ac:dyDescent="0.2">
      <c r="AA1" t="s">
        <v>147</v>
      </c>
      <c r="AB1" s="1">
        <v>0.05</v>
      </c>
      <c r="AF1" s="45" t="s">
        <v>87</v>
      </c>
    </row>
    <row r="2" spans="1:33" x14ac:dyDescent="0.2">
      <c r="AA2" t="s">
        <v>153</v>
      </c>
      <c r="AB2" s="22">
        <v>25716.387748284265</v>
      </c>
      <c r="AC2" t="s">
        <v>154</v>
      </c>
      <c r="AF2" s="45" t="s">
        <v>105</v>
      </c>
    </row>
    <row r="3" spans="1:33" x14ac:dyDescent="0.2">
      <c r="B3" s="45"/>
      <c r="C3" s="45"/>
      <c r="D3" s="45"/>
      <c r="E3" s="45"/>
      <c r="F3" s="45"/>
      <c r="G3" s="45"/>
      <c r="H3" s="45"/>
      <c r="I3" s="45"/>
      <c r="J3" s="45"/>
      <c r="N3" s="45"/>
      <c r="O3" s="45"/>
      <c r="Q3" s="45"/>
      <c r="R3" s="45"/>
      <c r="S3" s="45"/>
      <c r="T3" s="45"/>
      <c r="U3" s="45"/>
      <c r="V3" s="92"/>
      <c r="W3" s="45"/>
      <c r="X3" s="45"/>
      <c r="AA3" t="s">
        <v>141</v>
      </c>
      <c r="AB3" s="22">
        <f>NPV($AB$1,S7:S27)*(1+$AB$1)</f>
        <v>330817.74703660369</v>
      </c>
      <c r="AC3" s="80" t="s">
        <v>148</v>
      </c>
      <c r="AF3" s="45"/>
    </row>
    <row r="4" spans="1:33" x14ac:dyDescent="0.2">
      <c r="B4" t="s">
        <v>131</v>
      </c>
      <c r="C4" t="s">
        <v>35</v>
      </c>
      <c r="D4" t="s">
        <v>35</v>
      </c>
      <c r="E4" t="s">
        <v>34</v>
      </c>
      <c r="F4" t="s">
        <v>34</v>
      </c>
      <c r="G4" t="s">
        <v>34</v>
      </c>
      <c r="H4" t="s">
        <v>35</v>
      </c>
      <c r="I4" t="s">
        <v>39</v>
      </c>
      <c r="J4" t="s">
        <v>34</v>
      </c>
      <c r="Q4" s="22">
        <f>NPV(4%,Q8:Q27)+Q7</f>
        <v>850</v>
      </c>
      <c r="R4" s="22">
        <f t="shared" ref="R4:X4" si="0">NPV(4%,R8:R27)+R7</f>
        <v>1421.4459164753891</v>
      </c>
      <c r="S4" s="22">
        <f t="shared" si="0"/>
        <v>357000.50452334614</v>
      </c>
      <c r="T4" s="22">
        <f>(NPV(4%,T8:T27)+T7)*1.04^0.5</f>
        <v>29287.943729858125</v>
      </c>
      <c r="U4" s="22">
        <f t="shared" si="0"/>
        <v>335509.88991933898</v>
      </c>
      <c r="V4" s="22">
        <f>(NPV(4%,V8:V27)+V7)*1.04^0.5</f>
        <v>25.410263417668247</v>
      </c>
      <c r="W4" s="22">
        <f t="shared" si="0"/>
        <v>161.30106393114056</v>
      </c>
      <c r="X4" s="22">
        <f t="shared" si="0"/>
        <v>26850.760938066804</v>
      </c>
      <c r="AA4" t="s">
        <v>139</v>
      </c>
      <c r="AB4" s="22">
        <f>Q7</f>
        <v>850</v>
      </c>
      <c r="AF4" s="45"/>
    </row>
    <row r="5" spans="1:33" x14ac:dyDescent="0.2">
      <c r="C5" s="94" t="s">
        <v>136</v>
      </c>
      <c r="D5" s="94"/>
      <c r="E5" s="94"/>
      <c r="F5" s="94"/>
      <c r="G5" s="94"/>
      <c r="H5" s="94"/>
      <c r="I5" s="94"/>
      <c r="J5" s="94"/>
      <c r="L5" s="94" t="s">
        <v>137</v>
      </c>
      <c r="M5" s="94"/>
      <c r="N5" s="94"/>
      <c r="O5" s="94"/>
      <c r="Q5" s="94" t="s">
        <v>138</v>
      </c>
      <c r="R5" s="94"/>
      <c r="S5" s="94"/>
      <c r="T5" s="94"/>
      <c r="U5" s="94"/>
      <c r="V5" s="94"/>
      <c r="W5" s="94"/>
      <c r="X5" s="94"/>
      <c r="Y5" s="94"/>
      <c r="AA5" t="s">
        <v>140</v>
      </c>
      <c r="AB5" s="22">
        <f>NPV($AB$1,R7:R27)*(1+$AB$1)</f>
        <v>1304.6018354680075</v>
      </c>
      <c r="AC5" s="80" t="s">
        <v>148</v>
      </c>
      <c r="AF5" s="45"/>
    </row>
    <row r="6" spans="1:33" x14ac:dyDescent="0.2">
      <c r="B6" s="79" t="s">
        <v>30</v>
      </c>
      <c r="C6" s="79" t="s">
        <v>130</v>
      </c>
      <c r="D6" s="79" t="s">
        <v>31</v>
      </c>
      <c r="E6" s="79" t="s">
        <v>132</v>
      </c>
      <c r="F6" s="79" t="s">
        <v>133</v>
      </c>
      <c r="G6" s="79" t="s">
        <v>134</v>
      </c>
      <c r="H6" s="79" t="s">
        <v>37</v>
      </c>
      <c r="I6" s="79" t="s">
        <v>38</v>
      </c>
      <c r="J6" s="79" t="s">
        <v>135</v>
      </c>
      <c r="K6" s="79"/>
      <c r="L6" s="79" t="s">
        <v>41</v>
      </c>
      <c r="M6" s="79" t="s">
        <v>42</v>
      </c>
      <c r="N6" s="79" t="s">
        <v>43</v>
      </c>
      <c r="O6" s="79" t="s">
        <v>44</v>
      </c>
      <c r="P6" s="79"/>
      <c r="Q6" s="79" t="s">
        <v>32</v>
      </c>
      <c r="R6" s="79" t="s">
        <v>33</v>
      </c>
      <c r="S6" s="79" t="s">
        <v>36</v>
      </c>
      <c r="T6" s="79" t="s">
        <v>45</v>
      </c>
      <c r="U6" s="79" t="s">
        <v>46</v>
      </c>
      <c r="V6" s="79" t="s">
        <v>37</v>
      </c>
      <c r="W6" s="79" t="s">
        <v>38</v>
      </c>
      <c r="X6" s="79" t="s">
        <v>40</v>
      </c>
      <c r="Y6" s="79"/>
      <c r="AA6" t="s">
        <v>142</v>
      </c>
      <c r="AB6" s="22">
        <f>NPV(AB1,T8:T27)*(1+AB1)^0.5</f>
        <v>25897.935850044993</v>
      </c>
      <c r="AC6" s="80" t="s">
        <v>149</v>
      </c>
      <c r="AF6" s="45"/>
    </row>
    <row r="7" spans="1:33" x14ac:dyDescent="0.2">
      <c r="A7">
        <v>0</v>
      </c>
      <c r="B7">
        <f>42</f>
        <v>42</v>
      </c>
      <c r="C7" s="43">
        <v>500000</v>
      </c>
      <c r="D7" s="43"/>
      <c r="E7" s="43">
        <v>850</v>
      </c>
      <c r="F7" s="43"/>
      <c r="G7" s="43">
        <f t="shared" ref="G7:G26" si="1">$AB$2</f>
        <v>25716.387748284265</v>
      </c>
      <c r="H7" s="43"/>
      <c r="I7" s="43"/>
      <c r="J7" s="43">
        <f>G7*0.4</f>
        <v>10286.555099313708</v>
      </c>
      <c r="L7" s="77">
        <f>'Q2 - Data'!F29/'Q2 - Data'!B29</f>
        <v>9.2200038984407322E-4</v>
      </c>
      <c r="M7" s="77">
        <v>1</v>
      </c>
      <c r="N7" s="77">
        <f>M7*L7</f>
        <v>9.2200038984407322E-4</v>
      </c>
      <c r="O7" s="77">
        <f>M7-N7</f>
        <v>0.99907799961015598</v>
      </c>
      <c r="Q7" s="10">
        <f>E7*M7</f>
        <v>850</v>
      </c>
      <c r="R7" s="10">
        <f>F7*M7</f>
        <v>0</v>
      </c>
      <c r="S7" s="10">
        <f>G7*M7</f>
        <v>25716.387748284265</v>
      </c>
      <c r="T7" s="10">
        <v>0</v>
      </c>
      <c r="U7" s="10">
        <f>O7*SUM(C7:D7)*(A7=20)</f>
        <v>0</v>
      </c>
      <c r="V7" s="9">
        <v>0</v>
      </c>
      <c r="W7" s="9">
        <f>O7*SUM(I7)*(A7=20)</f>
        <v>0</v>
      </c>
      <c r="X7" s="10">
        <f>J7*M7</f>
        <v>10286.555099313708</v>
      </c>
      <c r="AA7" t="s">
        <v>143</v>
      </c>
      <c r="AB7" s="22">
        <f>NPV($AB$1,U$8:U$27)</f>
        <v>277067.84771776834</v>
      </c>
      <c r="AC7" s="80" t="s">
        <v>150</v>
      </c>
      <c r="AF7" s="45"/>
    </row>
    <row r="8" spans="1:33" x14ac:dyDescent="0.2">
      <c r="A8">
        <v>1</v>
      </c>
      <c r="B8">
        <f>B7+1</f>
        <v>43</v>
      </c>
      <c r="C8" s="43">
        <f>$C$7</f>
        <v>500000</v>
      </c>
      <c r="D8" s="43">
        <f>A8*3%*C8</f>
        <v>15000</v>
      </c>
      <c r="E8" s="43"/>
      <c r="F8" s="43">
        <f>100</f>
        <v>100</v>
      </c>
      <c r="G8" s="43">
        <f t="shared" si="1"/>
        <v>25716.387748284265</v>
      </c>
      <c r="H8" s="43">
        <f>500*(1+1.25%)^A8</f>
        <v>506.25</v>
      </c>
      <c r="I8" s="43">
        <f>300*(1+1.25%)^A8</f>
        <v>303.75</v>
      </c>
      <c r="J8" s="43">
        <f>G8*0.05</f>
        <v>1285.8193874142135</v>
      </c>
      <c r="L8" s="77">
        <f>'Q2 - Data'!G30/'Q2 - Data'!C30</f>
        <v>1.1500021642700986E-3</v>
      </c>
      <c r="M8" s="77">
        <f>O7</f>
        <v>0.99907799961015598</v>
      </c>
      <c r="N8" s="77">
        <f>M8*L8</f>
        <v>1.1489418618263201E-3</v>
      </c>
      <c r="O8" s="77">
        <f>M8-N8</f>
        <v>0.99792905774832963</v>
      </c>
      <c r="Q8" s="10">
        <f t="shared" ref="Q8:Q27" si="2">E8*M8</f>
        <v>0</v>
      </c>
      <c r="R8" s="10">
        <f t="shared" ref="R8:R26" si="3">F8*M8</f>
        <v>99.907799961015598</v>
      </c>
      <c r="S8" s="10">
        <f t="shared" ref="S8:S27" si="4">G8*M8</f>
        <v>25692.677228754968</v>
      </c>
      <c r="T8" s="10">
        <f>N7*SUM(C7:D7)</f>
        <v>461.0001949220366</v>
      </c>
      <c r="U8" s="10">
        <f t="shared" ref="U8:U27" si="5">O8*SUM(C8:D8)*(A8=20)</f>
        <v>0</v>
      </c>
      <c r="V8" s="9">
        <f>N7*H8</f>
        <v>0.46676269735856207</v>
      </c>
      <c r="W8" s="9">
        <f t="shared" ref="W8:W27" si="6">O8*SUM(I8)*(A8=20)</f>
        <v>0</v>
      </c>
      <c r="X8" s="10">
        <f t="shared" ref="X8:X27" si="7">J8*M8</f>
        <v>1284.6338614377485</v>
      </c>
      <c r="AA8" t="s">
        <v>144</v>
      </c>
      <c r="AB8" s="22">
        <f>NPV($AB$1,V$8:V$27)*(1+AB1)^0.5</f>
        <v>22.534333411366053</v>
      </c>
      <c r="AC8" s="80" t="s">
        <v>149</v>
      </c>
      <c r="AF8" s="45"/>
    </row>
    <row r="9" spans="1:33" x14ac:dyDescent="0.2">
      <c r="A9">
        <f>A8+1</f>
        <v>2</v>
      </c>
      <c r="B9">
        <f t="shared" ref="B9:B27" si="8">B8+1</f>
        <v>44</v>
      </c>
      <c r="C9" s="43">
        <f t="shared" ref="C9:C27" si="9">$C$7</f>
        <v>500000</v>
      </c>
      <c r="D9" s="43">
        <f t="shared" ref="D9:D27" si="10">A9*3%*C9</f>
        <v>30000</v>
      </c>
      <c r="E9" s="43"/>
      <c r="F9" s="43">
        <f>F8*(1+1.25%)</f>
        <v>101.25</v>
      </c>
      <c r="G9" s="43">
        <f t="shared" si="1"/>
        <v>25716.387748284265</v>
      </c>
      <c r="H9" s="43">
        <f t="shared" ref="H9:H27" si="11">500*(1+1.25%)^A9</f>
        <v>512.578125</v>
      </c>
      <c r="I9" s="43">
        <f t="shared" ref="I9:I27" si="12">300*(1+1.25%)^A9</f>
        <v>307.546875</v>
      </c>
      <c r="J9" s="43">
        <f t="shared" ref="J9:J27" si="13">G9*0.05</f>
        <v>1285.8193874142135</v>
      </c>
      <c r="L9" s="77">
        <f>'Q2 - Data'!H31/'Q2 - Data'!D31</f>
        <v>1.3270000000000194E-3</v>
      </c>
      <c r="M9" s="77">
        <f t="shared" ref="M9:M27" si="14">O8</f>
        <v>0.99792905774832963</v>
      </c>
      <c r="N9" s="77">
        <f t="shared" ref="N9:N27" si="15">M9*L9</f>
        <v>1.3242518596320526E-3</v>
      </c>
      <c r="O9" s="77">
        <f t="shared" ref="O9:O27" si="16">M9-N9</f>
        <v>0.9966048058886976</v>
      </c>
      <c r="Q9" s="10">
        <f t="shared" si="2"/>
        <v>0</v>
      </c>
      <c r="R9" s="10">
        <f t="shared" si="3"/>
        <v>101.04031709701837</v>
      </c>
      <c r="S9" s="10">
        <f t="shared" si="4"/>
        <v>25663.130594336006</v>
      </c>
      <c r="T9" s="10">
        <f t="shared" ref="T9:T27" si="17">N8*SUM(C8:D8)</f>
        <v>591.70505884055478</v>
      </c>
      <c r="U9" s="10">
        <f t="shared" si="5"/>
        <v>0</v>
      </c>
      <c r="V9" s="9">
        <f t="shared" ref="V9:V27" si="18">N8*H9</f>
        <v>0.58892246526894421</v>
      </c>
      <c r="W9" s="9">
        <f t="shared" si="6"/>
        <v>0</v>
      </c>
      <c r="X9" s="10">
        <f t="shared" si="7"/>
        <v>1283.1565297168004</v>
      </c>
      <c r="AA9" t="s">
        <v>145</v>
      </c>
      <c r="AB9" s="22">
        <f>NPV($AB$1,W$8:W$27)</f>
        <v>133.20423618132884</v>
      </c>
      <c r="AF9" s="45"/>
    </row>
    <row r="10" spans="1:33" x14ac:dyDescent="0.2">
      <c r="A10">
        <f t="shared" ref="A10:A27" si="19">A9+1</f>
        <v>3</v>
      </c>
      <c r="B10">
        <f t="shared" si="8"/>
        <v>45</v>
      </c>
      <c r="C10" s="43">
        <f t="shared" si="9"/>
        <v>500000</v>
      </c>
      <c r="D10" s="43">
        <f t="shared" si="10"/>
        <v>45000</v>
      </c>
      <c r="E10" s="43"/>
      <c r="F10" s="43">
        <f t="shared" ref="F10:F26" si="20">F9*(1+1.25%)</f>
        <v>102.515625</v>
      </c>
      <c r="G10" s="43">
        <f t="shared" si="1"/>
        <v>25716.387748284265</v>
      </c>
      <c r="H10" s="43">
        <f t="shared" si="11"/>
        <v>518.98535156249989</v>
      </c>
      <c r="I10" s="43">
        <f t="shared" si="12"/>
        <v>311.39121093749998</v>
      </c>
      <c r="J10" s="43">
        <f t="shared" si="13"/>
        <v>1285.8193874142135</v>
      </c>
      <c r="L10" s="77">
        <f>'Q2 - Data'!H32/'Q2 - Data'!D32</f>
        <v>1.4649999999999626E-3</v>
      </c>
      <c r="M10" s="77">
        <f t="shared" si="14"/>
        <v>0.9966048058886976</v>
      </c>
      <c r="N10" s="77">
        <f t="shared" si="15"/>
        <v>1.4600260406269047E-3</v>
      </c>
      <c r="O10" s="77">
        <f t="shared" si="16"/>
        <v>0.9951447798480707</v>
      </c>
      <c r="Q10" s="10">
        <f t="shared" si="2"/>
        <v>0</v>
      </c>
      <c r="R10" s="10">
        <f t="shared" si="3"/>
        <v>102.16756455368352</v>
      </c>
      <c r="S10" s="10">
        <f t="shared" si="4"/>
        <v>25629.075620037322</v>
      </c>
      <c r="T10" s="10">
        <f t="shared" si="17"/>
        <v>701.8534856049879</v>
      </c>
      <c r="U10" s="10">
        <f t="shared" si="5"/>
        <v>0</v>
      </c>
      <c r="V10" s="9">
        <f t="shared" si="18"/>
        <v>0.68726731692843512</v>
      </c>
      <c r="W10" s="9">
        <f t="shared" si="6"/>
        <v>0</v>
      </c>
      <c r="X10" s="10">
        <f t="shared" si="7"/>
        <v>1281.4537810018662</v>
      </c>
      <c r="AA10" t="s">
        <v>146</v>
      </c>
      <c r="AB10" s="22">
        <f>NPV($AB$1,X7:X27)*(1+$AB$1)</f>
        <v>25541.623063729679</v>
      </c>
      <c r="AF10" s="45"/>
    </row>
    <row r="11" spans="1:33" x14ac:dyDescent="0.2">
      <c r="A11">
        <f t="shared" si="19"/>
        <v>4</v>
      </c>
      <c r="B11">
        <f t="shared" si="8"/>
        <v>46</v>
      </c>
      <c r="C11" s="43">
        <f t="shared" si="9"/>
        <v>500000</v>
      </c>
      <c r="D11" s="43">
        <f t="shared" si="10"/>
        <v>60000</v>
      </c>
      <c r="E11" s="43"/>
      <c r="F11" s="43">
        <f t="shared" si="20"/>
        <v>103.7970703125</v>
      </c>
      <c r="G11" s="43">
        <f t="shared" si="1"/>
        <v>25716.387748284265</v>
      </c>
      <c r="H11" s="43">
        <f t="shared" si="11"/>
        <v>525.4726684570312</v>
      </c>
      <c r="I11" s="43">
        <f t="shared" si="12"/>
        <v>315.28360107421872</v>
      </c>
      <c r="J11" s="43">
        <f t="shared" si="13"/>
        <v>1285.8193874142135</v>
      </c>
      <c r="L11" s="77">
        <f>'Q2 - Data'!H33/'Q2 - Data'!D33</f>
        <v>1.6220000000000613E-3</v>
      </c>
      <c r="M11" s="77">
        <f t="shared" si="14"/>
        <v>0.9951447798480707</v>
      </c>
      <c r="N11" s="77">
        <f t="shared" si="15"/>
        <v>1.6141248329136317E-3</v>
      </c>
      <c r="O11" s="77">
        <f t="shared" si="16"/>
        <v>0.99353065501515703</v>
      </c>
      <c r="Q11" s="10">
        <f t="shared" si="2"/>
        <v>0</v>
      </c>
      <c r="R11" s="10">
        <f t="shared" si="3"/>
        <v>103.29311268500753</v>
      </c>
      <c r="S11" s="10">
        <f t="shared" si="4"/>
        <v>25591.529024253967</v>
      </c>
      <c r="T11" s="10">
        <f t="shared" si="17"/>
        <v>795.71419214166303</v>
      </c>
      <c r="U11" s="10">
        <f t="shared" si="5"/>
        <v>0</v>
      </c>
      <c r="V11" s="9">
        <f t="shared" si="18"/>
        <v>0.76720377958497343</v>
      </c>
      <c r="W11" s="9">
        <f t="shared" si="6"/>
        <v>0</v>
      </c>
      <c r="X11" s="10">
        <f t="shared" si="7"/>
        <v>1279.5764512126987</v>
      </c>
    </row>
    <row r="12" spans="1:33" x14ac:dyDescent="0.2">
      <c r="A12">
        <f t="shared" si="19"/>
        <v>5</v>
      </c>
      <c r="B12">
        <f t="shared" si="8"/>
        <v>47</v>
      </c>
      <c r="C12" s="43">
        <f t="shared" si="9"/>
        <v>500000</v>
      </c>
      <c r="D12" s="43">
        <f t="shared" si="10"/>
        <v>75000</v>
      </c>
      <c r="E12" s="43"/>
      <c r="F12" s="43">
        <f t="shared" si="20"/>
        <v>105.09453369140624</v>
      </c>
      <c r="G12" s="43">
        <f t="shared" si="1"/>
        <v>25716.387748284265</v>
      </c>
      <c r="H12" s="43">
        <f t="shared" si="11"/>
        <v>532.041076812744</v>
      </c>
      <c r="I12" s="43">
        <f t="shared" si="12"/>
        <v>319.22464608764642</v>
      </c>
      <c r="J12" s="43">
        <f t="shared" si="13"/>
        <v>1285.8193874142135</v>
      </c>
      <c r="L12" s="77">
        <f>'Q2 - Data'!H34/'Q2 - Data'!D34</f>
        <v>1.8019999999999542E-3</v>
      </c>
      <c r="M12" s="77">
        <f t="shared" si="14"/>
        <v>0.99353065501515703</v>
      </c>
      <c r="N12" s="77">
        <f t="shared" si="15"/>
        <v>1.7903422403372676E-3</v>
      </c>
      <c r="O12" s="77">
        <f t="shared" si="16"/>
        <v>0.99174031277481978</v>
      </c>
      <c r="Q12" s="10">
        <f t="shared" si="2"/>
        <v>0</v>
      </c>
      <c r="R12" s="10">
        <f t="shared" si="3"/>
        <v>104.41464089693532</v>
      </c>
      <c r="S12" s="10">
        <f t="shared" si="4"/>
        <v>25550.019564176626</v>
      </c>
      <c r="T12" s="10">
        <f t="shared" si="17"/>
        <v>903.90990643163377</v>
      </c>
      <c r="U12" s="10">
        <f t="shared" si="5"/>
        <v>0</v>
      </c>
      <c r="V12" s="9">
        <f t="shared" si="18"/>
        <v>0.85878071421355906</v>
      </c>
      <c r="W12" s="9">
        <f t="shared" si="6"/>
        <v>0</v>
      </c>
      <c r="X12" s="10">
        <f t="shared" si="7"/>
        <v>1277.5009782088314</v>
      </c>
      <c r="AA12" t="s">
        <v>151</v>
      </c>
    </row>
    <row r="13" spans="1:33" x14ac:dyDescent="0.2">
      <c r="A13">
        <f t="shared" si="19"/>
        <v>6</v>
      </c>
      <c r="B13">
        <f t="shared" si="8"/>
        <v>48</v>
      </c>
      <c r="C13" s="43">
        <f t="shared" si="9"/>
        <v>500000</v>
      </c>
      <c r="D13" s="43">
        <f t="shared" si="10"/>
        <v>90000</v>
      </c>
      <c r="E13" s="43"/>
      <c r="F13" s="43">
        <f t="shared" si="20"/>
        <v>106.40821536254882</v>
      </c>
      <c r="G13" s="43">
        <f t="shared" si="1"/>
        <v>25716.387748284265</v>
      </c>
      <c r="H13" s="43">
        <f t="shared" si="11"/>
        <v>538.69159027290334</v>
      </c>
      <c r="I13" s="43">
        <f t="shared" si="12"/>
        <v>323.21495416374199</v>
      </c>
      <c r="J13" s="43">
        <f t="shared" si="13"/>
        <v>1285.8193874142135</v>
      </c>
      <c r="L13" s="77">
        <f>'Q2 - Data'!H35/'Q2 - Data'!D35</f>
        <v>2.0079999999999599E-3</v>
      </c>
      <c r="M13" s="77">
        <f t="shared" si="14"/>
        <v>0.99174031277481978</v>
      </c>
      <c r="N13" s="77">
        <f t="shared" si="15"/>
        <v>1.9914145480517983E-3</v>
      </c>
      <c r="O13" s="77">
        <f t="shared" si="16"/>
        <v>0.98974889822676793</v>
      </c>
      <c r="Q13" s="10">
        <f t="shared" si="2"/>
        <v>0</v>
      </c>
      <c r="R13" s="10">
        <f t="shared" si="3"/>
        <v>105.52931678546454</v>
      </c>
      <c r="S13" s="10">
        <f t="shared" si="4"/>
        <v>25503.978428921982</v>
      </c>
      <c r="T13" s="10">
        <f t="shared" si="17"/>
        <v>1029.4467881939288</v>
      </c>
      <c r="U13" s="10">
        <f t="shared" si="5"/>
        <v>0</v>
      </c>
      <c r="V13" s="9">
        <f t="shared" si="18"/>
        <v>0.96444230858003521</v>
      </c>
      <c r="W13" s="9">
        <f t="shared" si="6"/>
        <v>0</v>
      </c>
      <c r="X13" s="10">
        <f t="shared" si="7"/>
        <v>1275.1989214460991</v>
      </c>
      <c r="AB13" s="22">
        <f>AB3-SUM(AB4:AB10)</f>
        <v>0</v>
      </c>
      <c r="AC13" t="s">
        <v>152</v>
      </c>
      <c r="AF13" s="45"/>
    </row>
    <row r="14" spans="1:33" x14ac:dyDescent="0.2">
      <c r="A14">
        <f t="shared" si="19"/>
        <v>7</v>
      </c>
      <c r="B14">
        <f t="shared" si="8"/>
        <v>49</v>
      </c>
      <c r="C14" s="43">
        <f t="shared" si="9"/>
        <v>500000</v>
      </c>
      <c r="D14" s="43">
        <f t="shared" si="10"/>
        <v>105000</v>
      </c>
      <c r="E14" s="43"/>
      <c r="F14" s="43">
        <f t="shared" si="20"/>
        <v>107.73831805458067</v>
      </c>
      <c r="G14" s="43">
        <f t="shared" si="1"/>
        <v>25716.387748284265</v>
      </c>
      <c r="H14" s="43">
        <f t="shared" si="11"/>
        <v>545.42523515131461</v>
      </c>
      <c r="I14" s="43">
        <f t="shared" si="12"/>
        <v>327.25514109078875</v>
      </c>
      <c r="J14" s="43">
        <f t="shared" si="13"/>
        <v>1285.8193874142135</v>
      </c>
      <c r="L14" s="77">
        <f>'Q2 - Data'!H36/'Q2 - Data'!D36</f>
        <v>2.2410000000001075E-3</v>
      </c>
      <c r="M14" s="77">
        <f t="shared" si="14"/>
        <v>0.98974889822676793</v>
      </c>
      <c r="N14" s="77">
        <f t="shared" si="15"/>
        <v>2.2180272809262931E-3</v>
      </c>
      <c r="O14" s="77">
        <f t="shared" si="16"/>
        <v>0.98753087094584169</v>
      </c>
      <c r="Q14" s="10">
        <f t="shared" si="2"/>
        <v>0</v>
      </c>
      <c r="R14" s="10">
        <f t="shared" si="3"/>
        <v>106.63388159132631</v>
      </c>
      <c r="S14" s="10">
        <f t="shared" si="4"/>
        <v>25452.766440236705</v>
      </c>
      <c r="T14" s="10">
        <f t="shared" si="17"/>
        <v>1174.9345833505611</v>
      </c>
      <c r="U14" s="10">
        <f t="shared" si="5"/>
        <v>0</v>
      </c>
      <c r="V14" s="9">
        <f t="shared" si="18"/>
        <v>1.086167748154901</v>
      </c>
      <c r="W14" s="9">
        <f t="shared" si="6"/>
        <v>0</v>
      </c>
      <c r="X14" s="10">
        <f t="shared" si="7"/>
        <v>1272.6383220118355</v>
      </c>
      <c r="AF14" s="45" t="s">
        <v>87</v>
      </c>
      <c r="AG14" t="s">
        <v>155</v>
      </c>
    </row>
    <row r="15" spans="1:33" x14ac:dyDescent="0.2">
      <c r="A15">
        <f t="shared" si="19"/>
        <v>8</v>
      </c>
      <c r="B15">
        <f t="shared" si="8"/>
        <v>50</v>
      </c>
      <c r="C15" s="43">
        <f t="shared" si="9"/>
        <v>500000</v>
      </c>
      <c r="D15" s="43">
        <f t="shared" si="10"/>
        <v>120000</v>
      </c>
      <c r="E15" s="43"/>
      <c r="F15" s="43">
        <f t="shared" si="20"/>
        <v>109.08504703026293</v>
      </c>
      <c r="G15" s="43">
        <f t="shared" si="1"/>
        <v>25716.387748284265</v>
      </c>
      <c r="H15" s="43">
        <f t="shared" si="11"/>
        <v>552.24305059070616</v>
      </c>
      <c r="I15" s="43">
        <f t="shared" si="12"/>
        <v>331.34583035442364</v>
      </c>
      <c r="J15" s="43">
        <f t="shared" si="13"/>
        <v>1285.8193874142135</v>
      </c>
      <c r="L15" s="77">
        <f>'Q2 - Data'!H37/'Q2 - Data'!D37</f>
        <v>2.5079999999998615E-3</v>
      </c>
      <c r="M15" s="77">
        <f t="shared" si="14"/>
        <v>0.98753087094584169</v>
      </c>
      <c r="N15" s="77">
        <f t="shared" si="15"/>
        <v>2.4767274243320341E-3</v>
      </c>
      <c r="O15" s="77">
        <f t="shared" si="16"/>
        <v>0.98505414352150966</v>
      </c>
      <c r="Q15" s="10">
        <f t="shared" si="2"/>
        <v>0</v>
      </c>
      <c r="R15" s="10">
        <f t="shared" si="3"/>
        <v>107.72485150096365</v>
      </c>
      <c r="S15" s="10">
        <f t="shared" si="4"/>
        <v>25395.726790644134</v>
      </c>
      <c r="T15" s="10">
        <f t="shared" si="17"/>
        <v>1341.9065049604073</v>
      </c>
      <c r="U15" s="10">
        <f t="shared" si="5"/>
        <v>0</v>
      </c>
      <c r="V15" s="9">
        <f t="shared" si="18"/>
        <v>1.2248901519121453</v>
      </c>
      <c r="W15" s="9">
        <f t="shared" si="6"/>
        <v>0</v>
      </c>
      <c r="X15" s="10">
        <f t="shared" si="7"/>
        <v>1269.7863395322067</v>
      </c>
    </row>
    <row r="16" spans="1:33" x14ac:dyDescent="0.2">
      <c r="A16">
        <f t="shared" si="19"/>
        <v>9</v>
      </c>
      <c r="B16">
        <f t="shared" si="8"/>
        <v>51</v>
      </c>
      <c r="C16" s="43">
        <f t="shared" si="9"/>
        <v>500000</v>
      </c>
      <c r="D16" s="43">
        <f t="shared" si="10"/>
        <v>135000</v>
      </c>
      <c r="E16" s="43"/>
      <c r="F16" s="43">
        <f t="shared" si="20"/>
        <v>110.4486101181412</v>
      </c>
      <c r="G16" s="43">
        <f t="shared" si="1"/>
        <v>25716.387748284265</v>
      </c>
      <c r="H16" s="43">
        <f t="shared" si="11"/>
        <v>559.14608872308986</v>
      </c>
      <c r="I16" s="43">
        <f t="shared" si="12"/>
        <v>335.48765323385396</v>
      </c>
      <c r="J16" s="43">
        <f t="shared" si="13"/>
        <v>1285.8193874142135</v>
      </c>
      <c r="L16" s="77">
        <f>'Q2 - Data'!H38/'Q2 - Data'!D38</f>
        <v>2.8089999999999665E-3</v>
      </c>
      <c r="M16" s="77">
        <f t="shared" si="14"/>
        <v>0.98505414352150966</v>
      </c>
      <c r="N16" s="77">
        <f t="shared" si="15"/>
        <v>2.7670170891518878E-3</v>
      </c>
      <c r="O16" s="77">
        <f t="shared" si="16"/>
        <v>0.98228712643235783</v>
      </c>
      <c r="Q16" s="10">
        <f t="shared" si="2"/>
        <v>0</v>
      </c>
      <c r="R16" s="10">
        <f t="shared" si="3"/>
        <v>108.79786104306673</v>
      </c>
      <c r="S16" s="10">
        <f t="shared" si="4"/>
        <v>25332.034307853202</v>
      </c>
      <c r="T16" s="10">
        <f t="shared" si="17"/>
        <v>1535.5710030858611</v>
      </c>
      <c r="U16" s="10">
        <f t="shared" si="5"/>
        <v>0</v>
      </c>
      <c r="V16" s="9">
        <f t="shared" si="18"/>
        <v>1.3848524521484693</v>
      </c>
      <c r="W16" s="9">
        <f t="shared" si="6"/>
        <v>0</v>
      </c>
      <c r="X16" s="10">
        <f t="shared" si="7"/>
        <v>1266.6017153926603</v>
      </c>
    </row>
    <row r="17" spans="1:24" x14ac:dyDescent="0.2">
      <c r="A17">
        <f t="shared" si="19"/>
        <v>10</v>
      </c>
      <c r="B17">
        <f t="shared" si="8"/>
        <v>52</v>
      </c>
      <c r="C17" s="43">
        <f t="shared" si="9"/>
        <v>500000</v>
      </c>
      <c r="D17" s="43">
        <f t="shared" si="10"/>
        <v>150000</v>
      </c>
      <c r="E17" s="43"/>
      <c r="F17" s="43">
        <f t="shared" si="20"/>
        <v>111.82921774461796</v>
      </c>
      <c r="G17" s="43">
        <f t="shared" si="1"/>
        <v>25716.387748284265</v>
      </c>
      <c r="H17" s="43">
        <f t="shared" si="11"/>
        <v>566.13541483212862</v>
      </c>
      <c r="I17" s="43">
        <f t="shared" si="12"/>
        <v>339.68124889927714</v>
      </c>
      <c r="J17" s="43">
        <f t="shared" si="13"/>
        <v>1285.8193874142135</v>
      </c>
      <c r="L17" s="77">
        <f>'Q2 - Data'!H39/'Q2 - Data'!D39</f>
        <v>3.1519999999999829E-3</v>
      </c>
      <c r="M17" s="77">
        <f t="shared" si="14"/>
        <v>0.98228712643235783</v>
      </c>
      <c r="N17" s="77">
        <f t="shared" si="15"/>
        <v>3.0961690225147749E-3</v>
      </c>
      <c r="O17" s="77">
        <f t="shared" si="16"/>
        <v>0.97919095740984308</v>
      </c>
      <c r="Q17" s="10">
        <f t="shared" si="2"/>
        <v>0</v>
      </c>
      <c r="R17" s="10">
        <f t="shared" si="3"/>
        <v>109.84840094953923</v>
      </c>
      <c r="S17" s="10">
        <f t="shared" si="4"/>
        <v>25260.876623482443</v>
      </c>
      <c r="T17" s="10">
        <f t="shared" si="17"/>
        <v>1757.0558516114488</v>
      </c>
      <c r="U17" s="10">
        <f t="shared" si="5"/>
        <v>0</v>
      </c>
      <c r="V17" s="9">
        <f t="shared" si="18"/>
        <v>1.5665063676145929</v>
      </c>
      <c r="W17" s="9">
        <f t="shared" si="6"/>
        <v>0</v>
      </c>
      <c r="X17" s="10">
        <f t="shared" si="7"/>
        <v>1263.0438311741225</v>
      </c>
    </row>
    <row r="18" spans="1:24" x14ac:dyDescent="0.2">
      <c r="A18">
        <f t="shared" si="19"/>
        <v>11</v>
      </c>
      <c r="B18">
        <f t="shared" si="8"/>
        <v>53</v>
      </c>
      <c r="C18" s="43">
        <f t="shared" si="9"/>
        <v>500000</v>
      </c>
      <c r="D18" s="43">
        <f t="shared" si="10"/>
        <v>164999.99999999997</v>
      </c>
      <c r="E18" s="43"/>
      <c r="F18" s="43">
        <f t="shared" si="20"/>
        <v>113.22708296642568</v>
      </c>
      <c r="G18" s="43">
        <f t="shared" si="1"/>
        <v>25716.387748284265</v>
      </c>
      <c r="H18" s="43">
        <f t="shared" si="11"/>
        <v>573.21210751753006</v>
      </c>
      <c r="I18" s="43">
        <f t="shared" si="12"/>
        <v>343.927264510518</v>
      </c>
      <c r="J18" s="43">
        <f t="shared" si="13"/>
        <v>1285.8193874142135</v>
      </c>
      <c r="L18" s="77">
        <f>'Q2 - Data'!H40/'Q2 - Data'!D40</f>
        <v>3.5389999999999042E-3</v>
      </c>
      <c r="M18" s="77">
        <f t="shared" si="14"/>
        <v>0.97919095740984308</v>
      </c>
      <c r="N18" s="77">
        <f t="shared" si="15"/>
        <v>3.4653567982733408E-3</v>
      </c>
      <c r="O18" s="77">
        <f t="shared" si="16"/>
        <v>0.97572560061156977</v>
      </c>
      <c r="Q18" s="10">
        <f t="shared" si="2"/>
        <v>0</v>
      </c>
      <c r="R18" s="10">
        <f t="shared" si="3"/>
        <v>110.8709357746181</v>
      </c>
      <c r="S18" s="10">
        <f t="shared" si="4"/>
        <v>25181.254340365227</v>
      </c>
      <c r="T18" s="10">
        <f t="shared" si="17"/>
        <v>2012.5098646346037</v>
      </c>
      <c r="U18" s="10">
        <f t="shared" si="5"/>
        <v>0</v>
      </c>
      <c r="V18" s="9">
        <f t="shared" si="18"/>
        <v>1.7747615706261852</v>
      </c>
      <c r="W18" s="9">
        <f t="shared" si="6"/>
        <v>0</v>
      </c>
      <c r="X18" s="10">
        <f t="shared" si="7"/>
        <v>1259.0627170182615</v>
      </c>
    </row>
    <row r="19" spans="1:24" x14ac:dyDescent="0.2">
      <c r="A19">
        <f t="shared" si="19"/>
        <v>12</v>
      </c>
      <c r="B19">
        <f t="shared" si="8"/>
        <v>54</v>
      </c>
      <c r="C19" s="43">
        <f t="shared" si="9"/>
        <v>500000</v>
      </c>
      <c r="D19" s="43">
        <f t="shared" si="10"/>
        <v>180000</v>
      </c>
      <c r="E19" s="43"/>
      <c r="F19" s="43">
        <f t="shared" si="20"/>
        <v>114.642421503506</v>
      </c>
      <c r="G19" s="43">
        <f t="shared" si="1"/>
        <v>25716.387748284265</v>
      </c>
      <c r="H19" s="43">
        <f t="shared" si="11"/>
        <v>580.37725886149929</v>
      </c>
      <c r="I19" s="43">
        <f t="shared" si="12"/>
        <v>348.22635531689957</v>
      </c>
      <c r="J19" s="43">
        <f t="shared" si="13"/>
        <v>1285.8193874142135</v>
      </c>
      <c r="L19" s="77">
        <f>'Q2 - Data'!H41/'Q2 - Data'!D41</f>
        <v>3.9760000000000177E-3</v>
      </c>
      <c r="M19" s="77">
        <f t="shared" si="14"/>
        <v>0.97572560061156977</v>
      </c>
      <c r="N19" s="77">
        <f t="shared" si="15"/>
        <v>3.8794849880316186E-3</v>
      </c>
      <c r="O19" s="77">
        <f t="shared" si="16"/>
        <v>0.97184611562353818</v>
      </c>
      <c r="Q19" s="10">
        <f t="shared" si="2"/>
        <v>0</v>
      </c>
      <c r="R19" s="10">
        <f t="shared" si="3"/>
        <v>111.85954557707313</v>
      </c>
      <c r="S19" s="10">
        <f t="shared" si="4"/>
        <v>25092.137881254679</v>
      </c>
      <c r="T19" s="10">
        <f t="shared" si="17"/>
        <v>2304.4622708517718</v>
      </c>
      <c r="U19" s="10">
        <f t="shared" si="5"/>
        <v>0</v>
      </c>
      <c r="V19" s="9">
        <f t="shared" si="18"/>
        <v>2.0112142795589429</v>
      </c>
      <c r="W19" s="9">
        <f t="shared" si="6"/>
        <v>0</v>
      </c>
      <c r="X19" s="10">
        <f t="shared" si="7"/>
        <v>1254.6068940627342</v>
      </c>
    </row>
    <row r="20" spans="1:24" x14ac:dyDescent="0.2">
      <c r="A20">
        <f t="shared" si="19"/>
        <v>13</v>
      </c>
      <c r="B20">
        <f t="shared" si="8"/>
        <v>55</v>
      </c>
      <c r="C20" s="43">
        <f t="shared" si="9"/>
        <v>500000</v>
      </c>
      <c r="D20" s="43">
        <f t="shared" si="10"/>
        <v>195000</v>
      </c>
      <c r="E20" s="43"/>
      <c r="F20" s="43">
        <f t="shared" si="20"/>
        <v>116.07545177229981</v>
      </c>
      <c r="G20" s="43">
        <f t="shared" si="1"/>
        <v>25716.387748284265</v>
      </c>
      <c r="H20" s="43">
        <f t="shared" si="11"/>
        <v>587.63197459726791</v>
      </c>
      <c r="I20" s="43">
        <f t="shared" si="12"/>
        <v>352.57918475836073</v>
      </c>
      <c r="J20" s="43">
        <f t="shared" si="13"/>
        <v>1285.8193874142135</v>
      </c>
      <c r="L20" s="77">
        <f>'Q2 - Data'!H42/'Q2 - Data'!D42</f>
        <v>4.4690000000000294E-3</v>
      </c>
      <c r="M20" s="77">
        <f t="shared" si="14"/>
        <v>0.97184611562353818</v>
      </c>
      <c r="N20" s="77">
        <f t="shared" si="15"/>
        <v>4.3431802907216207E-3</v>
      </c>
      <c r="O20" s="77">
        <f t="shared" si="16"/>
        <v>0.9675029353328165</v>
      </c>
      <c r="Q20" s="10">
        <f t="shared" si="2"/>
        <v>0</v>
      </c>
      <c r="R20" s="10">
        <f t="shared" si="3"/>
        <v>112.80747692415692</v>
      </c>
      <c r="S20" s="10">
        <f t="shared" si="4"/>
        <v>24992.37154103881</v>
      </c>
      <c r="T20" s="10">
        <f t="shared" si="17"/>
        <v>2638.0497918615006</v>
      </c>
      <c r="U20" s="10">
        <f t="shared" si="5"/>
        <v>0</v>
      </c>
      <c r="V20" s="9">
        <f t="shared" si="18"/>
        <v>2.2797094239374784</v>
      </c>
      <c r="W20" s="9">
        <f t="shared" si="6"/>
        <v>0</v>
      </c>
      <c r="X20" s="10">
        <f t="shared" si="7"/>
        <v>1249.6185770519407</v>
      </c>
    </row>
    <row r="21" spans="1:24" x14ac:dyDescent="0.2">
      <c r="A21">
        <f t="shared" si="19"/>
        <v>14</v>
      </c>
      <c r="B21">
        <f t="shared" si="8"/>
        <v>56</v>
      </c>
      <c r="C21" s="43">
        <f t="shared" si="9"/>
        <v>500000</v>
      </c>
      <c r="D21" s="43">
        <f t="shared" si="10"/>
        <v>210000</v>
      </c>
      <c r="E21" s="43"/>
      <c r="F21" s="43">
        <f t="shared" si="20"/>
        <v>117.52639491945355</v>
      </c>
      <c r="G21" s="43">
        <f t="shared" si="1"/>
        <v>25716.387748284265</v>
      </c>
      <c r="H21" s="43">
        <f t="shared" si="11"/>
        <v>594.97737427973379</v>
      </c>
      <c r="I21" s="43">
        <f t="shared" si="12"/>
        <v>356.98642456784029</v>
      </c>
      <c r="J21" s="43">
        <f t="shared" si="13"/>
        <v>1285.8193874142135</v>
      </c>
      <c r="L21" s="77">
        <f>'Q2 - Data'!H43/'Q2 - Data'!D43</f>
        <v>5.0249999999998846E-3</v>
      </c>
      <c r="M21" s="77">
        <f t="shared" si="14"/>
        <v>0.9675029353328165</v>
      </c>
      <c r="N21" s="77">
        <f t="shared" si="15"/>
        <v>4.8617022500472909E-3</v>
      </c>
      <c r="O21" s="77">
        <f t="shared" si="16"/>
        <v>0.96264123308276917</v>
      </c>
      <c r="Q21" s="10">
        <f t="shared" si="2"/>
        <v>0</v>
      </c>
      <c r="R21" s="10">
        <f t="shared" si="3"/>
        <v>113.70713206365512</v>
      </c>
      <c r="S21" s="10">
        <f t="shared" si="4"/>
        <v>24880.680632621905</v>
      </c>
      <c r="T21" s="10">
        <f t="shared" si="17"/>
        <v>3018.5103020515262</v>
      </c>
      <c r="U21" s="10">
        <f t="shared" si="5"/>
        <v>0</v>
      </c>
      <c r="V21" s="9">
        <f t="shared" si="18"/>
        <v>2.5840940053970409</v>
      </c>
      <c r="W21" s="9">
        <f t="shared" si="6"/>
        <v>0</v>
      </c>
      <c r="X21" s="10">
        <f t="shared" si="7"/>
        <v>1244.0340316310956</v>
      </c>
    </row>
    <row r="22" spans="1:24" x14ac:dyDescent="0.2">
      <c r="A22">
        <f t="shared" si="19"/>
        <v>15</v>
      </c>
      <c r="B22">
        <f t="shared" si="8"/>
        <v>57</v>
      </c>
      <c r="C22" s="43">
        <f t="shared" si="9"/>
        <v>500000</v>
      </c>
      <c r="D22" s="43">
        <f t="shared" si="10"/>
        <v>224999.99999999997</v>
      </c>
      <c r="E22" s="43"/>
      <c r="F22" s="43">
        <f t="shared" si="20"/>
        <v>118.99547485594671</v>
      </c>
      <c r="G22" s="43">
        <f t="shared" si="1"/>
        <v>25716.387748284265</v>
      </c>
      <c r="H22" s="43">
        <f t="shared" si="11"/>
        <v>602.41459145823035</v>
      </c>
      <c r="I22" s="43">
        <f t="shared" si="12"/>
        <v>361.44875487493823</v>
      </c>
      <c r="J22" s="43">
        <f t="shared" si="13"/>
        <v>1285.8193874142135</v>
      </c>
      <c r="L22" s="77">
        <f>'Q2 - Data'!H44/'Q2 - Data'!D44</f>
        <v>5.6499999999999519E-3</v>
      </c>
      <c r="M22" s="77">
        <f t="shared" si="14"/>
        <v>0.96264123308276917</v>
      </c>
      <c r="N22" s="77">
        <f t="shared" si="15"/>
        <v>5.4389229669175995E-3</v>
      </c>
      <c r="O22" s="77">
        <f t="shared" si="16"/>
        <v>0.95720231011585155</v>
      </c>
      <c r="Q22" s="10">
        <f t="shared" si="2"/>
        <v>0</v>
      </c>
      <c r="R22" s="10">
        <f t="shared" si="3"/>
        <v>114.54995064659819</v>
      </c>
      <c r="S22" s="10">
        <f t="shared" si="4"/>
        <v>24755.655212442984</v>
      </c>
      <c r="T22" s="10">
        <f t="shared" si="17"/>
        <v>3451.8085975335766</v>
      </c>
      <c r="U22" s="10">
        <f t="shared" si="5"/>
        <v>0</v>
      </c>
      <c r="V22" s="9">
        <f t="shared" si="18"/>
        <v>2.9287603747537978</v>
      </c>
      <c r="W22" s="9">
        <f t="shared" si="6"/>
        <v>0</v>
      </c>
      <c r="X22" s="10">
        <f t="shared" si="7"/>
        <v>1237.7827606221492</v>
      </c>
    </row>
    <row r="23" spans="1:24" x14ac:dyDescent="0.2">
      <c r="A23">
        <f t="shared" si="19"/>
        <v>16</v>
      </c>
      <c r="B23">
        <f t="shared" si="8"/>
        <v>58</v>
      </c>
      <c r="C23" s="43">
        <f t="shared" si="9"/>
        <v>500000</v>
      </c>
      <c r="D23" s="43">
        <f t="shared" si="10"/>
        <v>240000</v>
      </c>
      <c r="E23" s="43"/>
      <c r="F23" s="43">
        <f t="shared" si="20"/>
        <v>120.48291829164604</v>
      </c>
      <c r="G23" s="43">
        <f t="shared" si="1"/>
        <v>25716.387748284265</v>
      </c>
      <c r="H23" s="43">
        <f t="shared" si="11"/>
        <v>609.94477385145842</v>
      </c>
      <c r="I23" s="43">
        <f t="shared" si="12"/>
        <v>365.96686431087505</v>
      </c>
      <c r="J23" s="43">
        <f t="shared" si="13"/>
        <v>1285.8193874142135</v>
      </c>
      <c r="L23" s="77">
        <f>'Q2 - Data'!H45/'Q2 - Data'!D45</f>
        <v>6.3520000000000633E-3</v>
      </c>
      <c r="M23" s="77">
        <f t="shared" si="14"/>
        <v>0.95720231011585155</v>
      </c>
      <c r="N23" s="77">
        <f t="shared" si="15"/>
        <v>6.08014907385595E-3</v>
      </c>
      <c r="O23" s="77">
        <f t="shared" si="16"/>
        <v>0.95112216104199565</v>
      </c>
      <c r="Q23" s="10">
        <f t="shared" si="2"/>
        <v>0</v>
      </c>
      <c r="R23" s="10">
        <f t="shared" si="3"/>
        <v>115.32652771826298</v>
      </c>
      <c r="S23" s="10">
        <f t="shared" si="4"/>
        <v>24615.785760492679</v>
      </c>
      <c r="T23" s="10">
        <f t="shared" si="17"/>
        <v>3943.2191510152597</v>
      </c>
      <c r="U23" s="10">
        <f t="shared" si="5"/>
        <v>0</v>
      </c>
      <c r="V23" s="9">
        <f t="shared" si="18"/>
        <v>3.3174426390520586</v>
      </c>
      <c r="W23" s="9">
        <f t="shared" si="6"/>
        <v>0</v>
      </c>
      <c r="X23" s="10">
        <f t="shared" si="7"/>
        <v>1230.7892880246343</v>
      </c>
    </row>
    <row r="24" spans="1:24" x14ac:dyDescent="0.2">
      <c r="A24">
        <f t="shared" si="19"/>
        <v>17</v>
      </c>
      <c r="B24">
        <f t="shared" si="8"/>
        <v>59</v>
      </c>
      <c r="C24" s="43">
        <f t="shared" si="9"/>
        <v>500000</v>
      </c>
      <c r="D24" s="43">
        <f t="shared" si="10"/>
        <v>255000</v>
      </c>
      <c r="E24" s="43"/>
      <c r="F24" s="43">
        <f t="shared" si="20"/>
        <v>121.98895477029161</v>
      </c>
      <c r="G24" s="43">
        <f t="shared" si="1"/>
        <v>25716.387748284265</v>
      </c>
      <c r="H24" s="43">
        <f t="shared" si="11"/>
        <v>617.56908352460164</v>
      </c>
      <c r="I24" s="43">
        <f t="shared" si="12"/>
        <v>370.54145011476095</v>
      </c>
      <c r="J24" s="43">
        <f t="shared" si="13"/>
        <v>1285.8193874142135</v>
      </c>
      <c r="L24" s="77">
        <f>'Q2 - Data'!H46/'Q2 - Data'!D46</f>
        <v>7.1400000000001063E-3</v>
      </c>
      <c r="M24" s="77">
        <f t="shared" si="14"/>
        <v>0.95112216104199565</v>
      </c>
      <c r="N24" s="77">
        <f t="shared" si="15"/>
        <v>6.7910122298399499E-3</v>
      </c>
      <c r="O24" s="77">
        <f t="shared" si="16"/>
        <v>0.94433114881215574</v>
      </c>
      <c r="Q24" s="10">
        <f t="shared" si="2"/>
        <v>0</v>
      </c>
      <c r="R24" s="10">
        <f t="shared" si="3"/>
        <v>116.02639828437403</v>
      </c>
      <c r="S24" s="10">
        <f t="shared" si="4"/>
        <v>24459.426289342031</v>
      </c>
      <c r="T24" s="10">
        <f t="shared" si="17"/>
        <v>4499.3103146534031</v>
      </c>
      <c r="U24" s="10">
        <f t="shared" si="5"/>
        <v>0</v>
      </c>
      <c r="V24" s="9">
        <f t="shared" si="18"/>
        <v>3.7549120912341745</v>
      </c>
      <c r="W24" s="9">
        <f t="shared" si="6"/>
        <v>0</v>
      </c>
      <c r="X24" s="10">
        <f t="shared" si="7"/>
        <v>1222.9713144671018</v>
      </c>
    </row>
    <row r="25" spans="1:24" x14ac:dyDescent="0.2">
      <c r="A25">
        <f t="shared" si="19"/>
        <v>18</v>
      </c>
      <c r="B25">
        <f t="shared" si="8"/>
        <v>60</v>
      </c>
      <c r="C25" s="43">
        <f t="shared" si="9"/>
        <v>500000</v>
      </c>
      <c r="D25" s="43">
        <f t="shared" si="10"/>
        <v>270000</v>
      </c>
      <c r="E25" s="43"/>
      <c r="F25" s="43">
        <f t="shared" si="20"/>
        <v>123.51381670492026</v>
      </c>
      <c r="G25" s="43">
        <f t="shared" si="1"/>
        <v>25716.387748284265</v>
      </c>
      <c r="H25" s="43">
        <f t="shared" si="11"/>
        <v>625.28869706865919</v>
      </c>
      <c r="I25" s="43">
        <f t="shared" si="12"/>
        <v>375.17321824119551</v>
      </c>
      <c r="J25" s="43">
        <f t="shared" si="13"/>
        <v>1285.8193874142135</v>
      </c>
      <c r="L25" s="77">
        <f>'Q2 - Data'!H47/'Q2 - Data'!D47</f>
        <v>8.022000000000069E-3</v>
      </c>
      <c r="M25" s="77">
        <f t="shared" si="14"/>
        <v>0.94433114881215574</v>
      </c>
      <c r="N25" s="77">
        <f t="shared" si="15"/>
        <v>7.5754244757711784E-3</v>
      </c>
      <c r="O25" s="77">
        <f t="shared" si="16"/>
        <v>0.93675572433638454</v>
      </c>
      <c r="Q25" s="10">
        <f t="shared" si="2"/>
        <v>0</v>
      </c>
      <c r="R25" s="10">
        <f t="shared" si="3"/>
        <v>116.63794442313139</v>
      </c>
      <c r="S25" s="10">
        <f t="shared" si="4"/>
        <v>24284.785985636128</v>
      </c>
      <c r="T25" s="10">
        <f t="shared" si="17"/>
        <v>5127.2142335291619</v>
      </c>
      <c r="U25" s="10">
        <f t="shared" si="5"/>
        <v>0</v>
      </c>
      <c r="V25" s="9">
        <f t="shared" si="18"/>
        <v>4.2463431889739525</v>
      </c>
      <c r="W25" s="9">
        <f t="shared" si="6"/>
        <v>0</v>
      </c>
      <c r="X25" s="10">
        <f t="shared" si="7"/>
        <v>1214.2392992818066</v>
      </c>
    </row>
    <row r="26" spans="1:24" x14ac:dyDescent="0.2">
      <c r="A26">
        <f t="shared" si="19"/>
        <v>19</v>
      </c>
      <c r="B26">
        <f t="shared" si="8"/>
        <v>61</v>
      </c>
      <c r="C26" s="43">
        <f t="shared" si="9"/>
        <v>500000</v>
      </c>
      <c r="D26" s="43">
        <f t="shared" si="10"/>
        <v>285000</v>
      </c>
      <c r="E26" s="43"/>
      <c r="F26" s="43">
        <f t="shared" si="20"/>
        <v>125.05773941373175</v>
      </c>
      <c r="G26" s="43">
        <f t="shared" si="1"/>
        <v>25716.387748284265</v>
      </c>
      <c r="H26" s="43">
        <f t="shared" si="11"/>
        <v>633.10480578201737</v>
      </c>
      <c r="I26" s="43">
        <f t="shared" si="12"/>
        <v>379.86288346921037</v>
      </c>
      <c r="J26" s="43">
        <f t="shared" si="13"/>
        <v>1285.8193874142135</v>
      </c>
      <c r="L26" s="77">
        <f>'Q2 - Data'!H48/'Q2 - Data'!D48</f>
        <v>9.0090000000001332E-3</v>
      </c>
      <c r="M26" s="77">
        <f t="shared" si="14"/>
        <v>0.93675572433638454</v>
      </c>
      <c r="N26" s="77">
        <f t="shared" si="15"/>
        <v>8.4392323205466132E-3</v>
      </c>
      <c r="O26" s="77">
        <f t="shared" si="16"/>
        <v>0.92831649201583788</v>
      </c>
      <c r="Q26" s="10">
        <f t="shared" si="2"/>
        <v>0</v>
      </c>
      <c r="R26" s="10">
        <f t="shared" si="3"/>
        <v>117.14855326838111</v>
      </c>
      <c r="S26" s="10">
        <f t="shared" si="4"/>
        <v>24089.973432459352</v>
      </c>
      <c r="T26" s="10">
        <f t="shared" si="17"/>
        <v>5833.0768463438071</v>
      </c>
      <c r="U26" s="10">
        <f t="shared" si="5"/>
        <v>0</v>
      </c>
      <c r="V26" s="9">
        <f t="shared" si="18"/>
        <v>4.7960376414494528</v>
      </c>
      <c r="W26" s="9">
        <f t="shared" si="6"/>
        <v>0</v>
      </c>
      <c r="X26" s="10">
        <f t="shared" si="7"/>
        <v>1204.4986716229678</v>
      </c>
    </row>
    <row r="27" spans="1:24" x14ac:dyDescent="0.2">
      <c r="A27">
        <f t="shared" si="19"/>
        <v>20</v>
      </c>
      <c r="B27">
        <f t="shared" si="8"/>
        <v>62</v>
      </c>
      <c r="C27" s="43">
        <f t="shared" si="9"/>
        <v>500000</v>
      </c>
      <c r="D27" s="43">
        <f t="shared" si="10"/>
        <v>300000</v>
      </c>
      <c r="E27" s="43"/>
      <c r="F27" s="43"/>
      <c r="G27" s="43"/>
      <c r="H27" s="43">
        <f t="shared" si="11"/>
        <v>641.01861585429253</v>
      </c>
      <c r="I27" s="43">
        <f t="shared" si="12"/>
        <v>384.61116951257554</v>
      </c>
      <c r="J27" s="43">
        <f t="shared" si="13"/>
        <v>0</v>
      </c>
      <c r="L27" s="77">
        <f>'Q2 - Data'!H49/'Q2 - Data'!D49</f>
        <v>1.0111999999999927E-2</v>
      </c>
      <c r="M27" s="77">
        <f t="shared" si="14"/>
        <v>0.92831649201583788</v>
      </c>
      <c r="N27" s="77">
        <f t="shared" si="15"/>
        <v>9.3871363672640845E-3</v>
      </c>
      <c r="O27" s="77">
        <f t="shared" si="16"/>
        <v>0.91892935564857381</v>
      </c>
      <c r="Q27" s="10">
        <f t="shared" si="2"/>
        <v>0</v>
      </c>
      <c r="R27" s="10">
        <f>F27*M27</f>
        <v>0</v>
      </c>
      <c r="S27" s="10">
        <f t="shared" si="4"/>
        <v>0</v>
      </c>
      <c r="T27" s="10">
        <f t="shared" si="17"/>
        <v>6624.7973716290917</v>
      </c>
      <c r="U27" s="10">
        <f t="shared" si="5"/>
        <v>735143.48451885907</v>
      </c>
      <c r="V27" s="9">
        <f t="shared" si="18"/>
        <v>5.4097050209895992</v>
      </c>
      <c r="W27" s="9">
        <f t="shared" si="6"/>
        <v>353.43049417543546</v>
      </c>
      <c r="X27" s="10">
        <f t="shared" si="7"/>
        <v>0</v>
      </c>
    </row>
  </sheetData>
  <mergeCells count="3">
    <mergeCell ref="C5:J5"/>
    <mergeCell ref="L5:O5"/>
    <mergeCell ref="Q5:Y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6"/>
  <sheetViews>
    <sheetView workbookViewId="0">
      <selection activeCell="K6" sqref="K6"/>
    </sheetView>
  </sheetViews>
  <sheetFormatPr defaultRowHeight="12.75" x14ac:dyDescent="0.2"/>
  <sheetData>
    <row r="4" spans="2:11" x14ac:dyDescent="0.2">
      <c r="B4" s="39" t="s">
        <v>101</v>
      </c>
    </row>
    <row r="5" spans="2:11" x14ac:dyDescent="0.2">
      <c r="B5" t="s">
        <v>127</v>
      </c>
      <c r="H5" s="73" t="s">
        <v>129</v>
      </c>
    </row>
    <row r="6" spans="2:11" x14ac:dyDescent="0.2">
      <c r="B6" t="s">
        <v>128</v>
      </c>
      <c r="K6" s="73" t="s">
        <v>129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WTW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Q1 (i)</vt:lpstr>
      <vt:lpstr>Q1 (ii)</vt:lpstr>
      <vt:lpstr>Q1 (iii)</vt:lpstr>
      <vt:lpstr>Q1 (iv)</vt:lpstr>
      <vt:lpstr>Q1 (v)</vt:lpstr>
      <vt:lpstr>Q2 - Data</vt:lpstr>
      <vt:lpstr>Q2 (i)</vt:lpstr>
      <vt:lpstr>Q2 (ii)</vt:lpstr>
      <vt:lpstr>Q2 (iii)</vt:lpstr>
      <vt:lpstr>Q2 (iv)</vt:lpstr>
      <vt:lpstr>Q2 (v)</vt:lpstr>
      <vt:lpstr>Q2 (vi)</vt:lpstr>
      <vt:lpstr>Q3(i)</vt:lpstr>
      <vt:lpstr>Q3 (ii)</vt:lpstr>
      <vt:lpstr>Q3(iii)</vt:lpstr>
      <vt:lpstr>Q3(iv)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Chadha (IRR/ICT/Life, Gurugram)</dc:creator>
  <cp:lastModifiedBy>Jyoti Dubey</cp:lastModifiedBy>
  <dcterms:created xsi:type="dcterms:W3CDTF">2015-06-05T18:17:20Z</dcterms:created>
  <dcterms:modified xsi:type="dcterms:W3CDTF">2021-11-18T12:20:42Z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2021-08-11T07:59:20Z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041ff421-9f75-4b1f-bf03-d912d393b0cd</vt:lpwstr>
  </property>
  <property fmtid="{D5CDD505-2E9C-101B-9397-08002B2CF9AE}" pid="8" name="MSIP_Label_d347b247-e90e-43a3-9d7b-004f14ae6873_ContentBits">
    <vt:lpwstr>0</vt:lpwstr>
  </property>
  <property fmtid="{D5CDD505-2E9C-101B-9397-08002B2CF9AE}" pid="9" name="MSIP_Label_90c2fedb-0da6-4717-8531-d16a1b9930f4_Enabled">
    <vt:lpwstr>true</vt:lpwstr>
  </property>
  <property fmtid="{D5CDD505-2E9C-101B-9397-08002B2CF9AE}" pid="10" name="MSIP_Label_90c2fedb-0da6-4717-8531-d16a1b9930f4_SetDate">
    <vt:lpwstr>2021-08-16T15:06:51Z</vt:lpwstr>
  </property>
  <property fmtid="{D5CDD505-2E9C-101B-9397-08002B2CF9AE}" pid="11" name="MSIP_Label_90c2fedb-0da6-4717-8531-d16a1b9930f4_Method">
    <vt:lpwstr>Standard</vt:lpwstr>
  </property>
  <property fmtid="{D5CDD505-2E9C-101B-9397-08002B2CF9AE}" pid="12" name="MSIP_Label_90c2fedb-0da6-4717-8531-d16a1b9930f4_Name">
    <vt:lpwstr>90c2fedb-0da6-4717-8531-d16a1b9930f4</vt:lpwstr>
  </property>
  <property fmtid="{D5CDD505-2E9C-101B-9397-08002B2CF9AE}" pid="13" name="MSIP_Label_90c2fedb-0da6-4717-8531-d16a1b9930f4_SiteId">
    <vt:lpwstr>45597f60-6e37-4be7-acfb-4c9e23b261ea</vt:lpwstr>
  </property>
  <property fmtid="{D5CDD505-2E9C-101B-9397-08002B2CF9AE}" pid="14" name="MSIP_Label_90c2fedb-0da6-4717-8531-d16a1b9930f4_ActionId">
    <vt:lpwstr>138b22d2-b7fa-45fb-ac22-6c7c342dfec9</vt:lpwstr>
  </property>
  <property fmtid="{D5CDD505-2E9C-101B-9397-08002B2CF9AE}" pid="15" name="MSIP_Label_90c2fedb-0da6-4717-8531-d16a1b9930f4_ContentBits">
    <vt:lpwstr>0</vt:lpwstr>
  </property>
  <property fmtid="{D5CDD505-2E9C-101B-9397-08002B2CF9AE}" pid="16" name="Sensitivity">
    <vt:lpwstr>Internal</vt:lpwstr>
  </property>
</Properties>
</file>